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385" yWindow="450" windowWidth="14310" windowHeight="9975" firstSheet="20" activeTab="25"/>
  </bookViews>
  <sheets>
    <sheet name="Feuile de mesures" sheetId="1" r:id="rId1"/>
    <sheet name="calcul de chaptalisation" sheetId="30" r:id="rId2"/>
    <sheet name="Levures" sheetId="10" r:id="rId3"/>
    <sheet name="Correction Acidité" sheetId="3" r:id="rId4"/>
    <sheet name="quant sulfite " sheetId="28" r:id="rId5"/>
    <sheet name="correction densité &gt;temp" sheetId="9" r:id="rId6"/>
    <sheet name="arrêter la fermentation" sheetId="18" r:id="rId7"/>
    <sheet name="Croix St André" sheetId="20" r:id="rId8"/>
    <sheet name="Clarifiant" sheetId="11" r:id="rId9"/>
    <sheet name="Place  sucre par litre" sheetId="7" r:id="rId10"/>
    <sheet name="Eclaircisant jus rouge" sheetId="12" r:id="rId11"/>
    <sheet name="Table Conversion densité " sheetId="13" r:id="rId12"/>
    <sheet name="Correction en sucre" sheetId="4" r:id="rId13"/>
    <sheet name="Sorbitol" sheetId="19" r:id="rId14"/>
    <sheet name="Méthode Acidex1" sheetId="21" r:id="rId15"/>
    <sheet name="Méthode Acidex2" sheetId="22" r:id="rId16"/>
    <sheet name="volume dans une tourie en verre" sheetId="15" r:id="rId17"/>
    <sheet name="Pouvoir sucrant " sheetId="24" r:id="rId18"/>
    <sheet name="Dilution alcool et eau" sheetId="25" r:id="rId19"/>
    <sheet name="Levure par fruits et récolte" sheetId="29" r:id="rId20"/>
    <sheet name="Capacité contenant" sheetId="26" r:id="rId21"/>
    <sheet name="volume d'un seau ou un  fût" sheetId="34" r:id="rId22"/>
    <sheet name="Quantité de sulfite" sheetId="27" r:id="rId23"/>
    <sheet name="Nombre de bouteilles" sheetId="31" r:id="rId24"/>
    <sheet name="calcul kupfat" sheetId="32" r:id="rId25"/>
    <sheet name="avant-propos" sheetId="33" r:id="rId26"/>
  </sheets>
  <externalReferences>
    <externalReference r:id="rId27"/>
    <externalReference r:id="rId28"/>
    <externalReference r:id="rId29"/>
    <externalReference r:id="rId30"/>
  </externalReferences>
  <definedNames>
    <definedName name="d_taux">'Correction en sucre'!$D$2</definedName>
    <definedName name="d_type">'Correction en sucre'!$A$2</definedName>
    <definedName name="liste">'Feuile de mesures'!$AB$2</definedName>
    <definedName name="taux">'Correction en sucre'!$D:$D</definedName>
    <definedName name="test">'[1]Correction en sucre'!$A:$A</definedName>
    <definedName name="type" localSheetId="1">'[2]Correction en sucre'!$A:$A</definedName>
    <definedName name="type" localSheetId="4">'[3]Correction en sucre'!$A:$A</definedName>
    <definedName name="type" localSheetId="21">'[4]Correction en sucre'!$A:$A</definedName>
    <definedName name="type">'Correction en sucre'!$A:$A</definedName>
    <definedName name="_xlnm.Print_Area" localSheetId="6">'arrêter la fermentation'!$A$1:$N$25</definedName>
    <definedName name="_xlnm.Print_Area" localSheetId="1">'calcul de chaptalisation'!$A$1:$G$36</definedName>
    <definedName name="_xlnm.Print_Area" localSheetId="20">'Capacité contenant'!$A$1:$E$27</definedName>
    <definedName name="_xlnm.Print_Area" localSheetId="8">Clarifiant!$A$1:$AB$23</definedName>
    <definedName name="_xlnm.Print_Area" localSheetId="3">'Correction Acidité'!$A$1:$T$25</definedName>
    <definedName name="_xlnm.Print_Area" localSheetId="5">'correction densité &gt;temp'!$A$1:$L$17</definedName>
    <definedName name="_xlnm.Print_Area" localSheetId="12">'Correction en sucre'!$B$1:$M$20</definedName>
    <definedName name="_xlnm.Print_Area" localSheetId="7">'Croix St André'!$A$1:$L$26</definedName>
    <definedName name="_xlnm.Print_Area" localSheetId="10">'Eclaircisant jus rouge'!$A$1:$J$17</definedName>
    <definedName name="_xlnm.Print_Area" localSheetId="0">'Feuile de mesures'!$A$1:$Q$35</definedName>
    <definedName name="_xlnm.Print_Area" localSheetId="2">Levures!$A$1:$H$55</definedName>
    <definedName name="_xlnm.Print_Area" localSheetId="14">'Méthode Acidex1'!$A$1:$G$32</definedName>
    <definedName name="_xlnm.Print_Area" localSheetId="15">'Méthode Acidex2'!$A$1:$I$33</definedName>
    <definedName name="_xlnm.Print_Area" localSheetId="9">'Place  sucre par litre'!$A$1:$G$11</definedName>
    <definedName name="_xlnm.Print_Area" localSheetId="17">'Pouvoir sucrant '!$A$1:$F$37</definedName>
    <definedName name="_xlnm.Print_Area" localSheetId="4">'quant sulfite '!$A$1:$V$30</definedName>
    <definedName name="_xlnm.Print_Area" localSheetId="13">Sorbitol!$A$1:$H$17</definedName>
    <definedName name="_xlnm.Print_Area" localSheetId="11">'Table Conversion densité '!$A$2:$P$16</definedName>
    <definedName name="_xlnm.Print_Area" localSheetId="16">'volume dans une tourie en verre'!$A$1:$N$39</definedName>
  </definedNames>
  <calcPr calcId="145621"/>
  <fileRecoveryPr autoRecover="0"/>
</workbook>
</file>

<file path=xl/calcChain.xml><?xml version="1.0" encoding="utf-8"?>
<calcChain xmlns="http://schemas.openxmlformats.org/spreadsheetml/2006/main">
  <c r="C8" i="27" l="1"/>
  <c r="L19" i="34" l="1"/>
  <c r="P17" i="34"/>
  <c r="R17" i="34" s="1"/>
  <c r="T17" i="34" s="1"/>
  <c r="J17" i="34"/>
  <c r="L17" i="34" s="1"/>
  <c r="P3" i="1" l="1"/>
  <c r="D6" i="31" l="1"/>
  <c r="D5" i="31"/>
  <c r="D7" i="28"/>
  <c r="I12" i="32" l="1"/>
  <c r="K6" i="32" l="1"/>
  <c r="H4" i="32"/>
  <c r="N4" i="32" s="1"/>
  <c r="G6" i="32" s="1"/>
  <c r="I8" i="32" s="1"/>
  <c r="G12" i="32" s="1"/>
  <c r="D4" i="31" l="1"/>
  <c r="H2" i="26"/>
  <c r="D32" i="30" l="1"/>
  <c r="D29" i="30"/>
  <c r="D31" i="30" s="1"/>
  <c r="D19" i="30"/>
  <c r="D21" i="30" s="1"/>
  <c r="C19" i="30"/>
  <c r="AC17" i="30"/>
  <c r="AC15" i="30"/>
  <c r="AC13" i="30"/>
  <c r="AC11" i="30"/>
  <c r="AC12" i="30" s="1"/>
  <c r="AC14" i="30" s="1"/>
  <c r="D12" i="30"/>
  <c r="D14" i="30" s="1"/>
  <c r="D16" i="30" s="1"/>
  <c r="D18" i="30" s="1"/>
  <c r="AC8" i="30"/>
  <c r="AC19" i="30" s="1"/>
  <c r="AC21" i="30" s="1"/>
  <c r="AC6" i="30"/>
  <c r="D5" i="30"/>
  <c r="D7" i="30" s="1"/>
  <c r="D9" i="30" s="1"/>
  <c r="D24" i="30" s="1"/>
  <c r="AC4" i="30"/>
  <c r="AC3" i="30"/>
  <c r="AC5" i="30" l="1"/>
  <c r="AC7" i="30"/>
  <c r="AC9" i="30" s="1"/>
  <c r="AC24" i="30" s="1"/>
  <c r="D33" i="30"/>
  <c r="AC22" i="30"/>
  <c r="AC23" i="30" s="1"/>
  <c r="AC16" i="30"/>
  <c r="AC18" i="30" s="1"/>
  <c r="D22" i="30"/>
  <c r="D23" i="30" s="1"/>
  <c r="D25" i="30" s="1"/>
  <c r="G7" i="1"/>
  <c r="AC26" i="30" l="1"/>
  <c r="D26" i="30" s="1"/>
  <c r="D28" i="28"/>
  <c r="G28" i="28" s="1"/>
  <c r="J28" i="28" s="1"/>
  <c r="D26" i="28"/>
  <c r="G26" i="28" s="1"/>
  <c r="J26" i="28" s="1"/>
  <c r="D24" i="28"/>
  <c r="G24" i="28" s="1"/>
  <c r="J24" i="28" s="1"/>
  <c r="D22" i="28"/>
  <c r="G22" i="28" s="1"/>
  <c r="J22" i="28" s="1"/>
  <c r="D20" i="28"/>
  <c r="G20" i="28" s="1"/>
  <c r="J20" i="28" s="1"/>
  <c r="Q15" i="28"/>
  <c r="T15" i="28" s="1"/>
  <c r="W15" i="28" s="1"/>
  <c r="D14" i="28"/>
  <c r="Q13" i="28"/>
  <c r="T13" i="28" s="1"/>
  <c r="W13" i="28" s="1"/>
  <c r="G13" i="28"/>
  <c r="J13" i="28" s="1"/>
  <c r="D13" i="28"/>
  <c r="Q11" i="28"/>
  <c r="T11" i="28" s="1"/>
  <c r="W11" i="28" s="1"/>
  <c r="D11" i="28"/>
  <c r="G11" i="28" s="1"/>
  <c r="J11" i="28" s="1"/>
  <c r="Q9" i="28"/>
  <c r="T9" i="28" s="1"/>
  <c r="W9" i="28" s="1"/>
  <c r="D9" i="28"/>
  <c r="G9" i="28" s="1"/>
  <c r="J9" i="28" s="1"/>
  <c r="Q7" i="28"/>
  <c r="T7" i="28" s="1"/>
  <c r="W7" i="28" s="1"/>
  <c r="G7" i="28"/>
  <c r="J7" i="28" s="1"/>
  <c r="D28" i="30" l="1"/>
  <c r="D27" i="30"/>
  <c r="E8" i="27"/>
  <c r="H8" i="27" s="1"/>
  <c r="E34" i="1" l="1"/>
  <c r="I35" i="1" l="1"/>
  <c r="K35" i="1" s="1"/>
  <c r="B17" i="25" l="1"/>
  <c r="B19" i="25" s="1"/>
  <c r="B7" i="25"/>
  <c r="I9" i="9" l="1"/>
  <c r="G9" i="22" l="1"/>
  <c r="Q11" i="22" s="1"/>
  <c r="C28" i="22"/>
  <c r="Q10" i="22"/>
  <c r="G8" i="22"/>
  <c r="C12" i="22" s="1"/>
  <c r="D13" i="21"/>
  <c r="D9" i="21"/>
  <c r="D11" i="21" s="1"/>
  <c r="Q12" i="22" l="1"/>
  <c r="C11" i="22" s="1"/>
  <c r="C17" i="22"/>
  <c r="C13" i="22"/>
  <c r="C19" i="22" s="1"/>
  <c r="G10" i="22"/>
  <c r="D14" i="21"/>
  <c r="D12" i="21"/>
  <c r="D17" i="21" s="1"/>
  <c r="L11" i="11"/>
  <c r="H11" i="11"/>
  <c r="E11" i="11"/>
  <c r="I4" i="4"/>
  <c r="C16" i="22" l="1"/>
  <c r="C23" i="22" s="1"/>
  <c r="C14" i="22"/>
  <c r="D18" i="21"/>
  <c r="D15" i="21"/>
  <c r="D21" i="21" s="1"/>
  <c r="H4" i="20"/>
  <c r="H8" i="20" l="1"/>
  <c r="H12" i="20" s="1"/>
  <c r="F19" i="20" l="1"/>
  <c r="F23" i="20" s="1"/>
  <c r="F21" i="20"/>
  <c r="D6" i="19" l="1"/>
  <c r="G22" i="18" l="1"/>
  <c r="G16" i="18"/>
  <c r="G9" i="18"/>
  <c r="G23" i="18"/>
  <c r="G17" i="18"/>
  <c r="G11" i="18"/>
  <c r="E11" i="18"/>
  <c r="G10" i="18"/>
  <c r="E23" i="18" l="1"/>
  <c r="E22" i="18"/>
  <c r="E21" i="18"/>
  <c r="E17" i="18"/>
  <c r="E16" i="18"/>
  <c r="G21" i="18" s="1"/>
  <c r="E15" i="18"/>
  <c r="E10" i="18"/>
  <c r="G15" i="18" s="1"/>
  <c r="E9" i="18"/>
  <c r="D8" i="13" l="1"/>
  <c r="E8" i="13" s="1"/>
  <c r="F8" i="13" s="1"/>
  <c r="G8" i="13" l="1"/>
  <c r="H8" i="13" s="1"/>
  <c r="I8" i="13" s="1"/>
  <c r="J8" i="13" s="1"/>
  <c r="E7" i="7" l="1"/>
  <c r="F15" i="12"/>
  <c r="C15" i="12"/>
  <c r="L22" i="11"/>
  <c r="E22" i="11"/>
  <c r="L10" i="11"/>
  <c r="H10" i="11"/>
  <c r="E10" i="11"/>
  <c r="L9" i="11"/>
  <c r="H9" i="11"/>
  <c r="E9" i="11"/>
  <c r="J4" i="4"/>
  <c r="F14" i="9"/>
  <c r="F9" i="9"/>
  <c r="S18" i="3"/>
  <c r="O5" i="3"/>
  <c r="Q11" i="3" s="1"/>
  <c r="C5" i="3"/>
  <c r="G11" i="4"/>
  <c r="G13" i="4" s="1"/>
  <c r="G18" i="4" s="1"/>
  <c r="E13" i="3" l="1"/>
  <c r="E8" i="3"/>
  <c r="E12" i="3"/>
  <c r="E11" i="3"/>
  <c r="E21" i="3" s="1"/>
  <c r="J21" i="3" s="1"/>
  <c r="E14" i="3"/>
  <c r="E24" i="3" s="1"/>
  <c r="J24" i="3" s="1"/>
  <c r="E10" i="3"/>
  <c r="E23" i="3"/>
  <c r="J23" i="3" s="1"/>
  <c r="Q18" i="3"/>
  <c r="E22" i="3" l="1"/>
  <c r="J22" i="3" s="1"/>
  <c r="E20" i="3"/>
  <c r="J20" i="3" s="1"/>
  <c r="E18" i="3" l="1"/>
  <c r="J18" i="3" s="1"/>
</calcChain>
</file>

<file path=xl/comments1.xml><?xml version="1.0" encoding="utf-8"?>
<comments xmlns="http://schemas.openxmlformats.org/spreadsheetml/2006/main">
  <authors>
    <author>admin</author>
  </authors>
  <commentList>
    <comment ref="K3" authorId="0">
      <text>
        <r>
          <rPr>
            <sz val="9"/>
            <color indexed="81"/>
            <rFont val="Tahoma"/>
            <family val="2"/>
          </rPr>
          <t xml:space="preserve">1ml/L de jus ou 2ml/kg de pulpe
</t>
        </r>
      </text>
    </comment>
  </commentList>
</comments>
</file>

<file path=xl/comments2.xml><?xml version="1.0" encoding="utf-8"?>
<comments xmlns="http://schemas.openxmlformats.org/spreadsheetml/2006/main">
  <authors>
    <author>Didier</author>
  </authors>
  <commentList>
    <comment ref="D20" authorId="0">
      <text>
        <r>
          <rPr>
            <sz val="8"/>
            <color indexed="81"/>
            <rFont val="Tahoma"/>
            <family val="2"/>
          </rPr>
          <t xml:space="preserve">résultat de la jonction de la densité du moût et du jus dans le tableau ci-contre
</t>
        </r>
      </text>
    </comment>
  </commentList>
</comments>
</file>

<file path=xl/comments3.xml><?xml version="1.0" encoding="utf-8"?>
<comments xmlns="http://schemas.openxmlformats.org/spreadsheetml/2006/main">
  <authors>
    <author>Didier</author>
  </authors>
  <commentList>
    <comment ref="A1" authorId="0">
      <text>
        <r>
          <rPr>
            <sz val="8"/>
            <color indexed="81"/>
            <rFont val="Tahoma"/>
            <family val="2"/>
          </rPr>
          <t>ce que vous fabriquez</t>
        </r>
      </text>
    </comment>
  </commentList>
</comments>
</file>

<file path=xl/sharedStrings.xml><?xml version="1.0" encoding="utf-8"?>
<sst xmlns="http://schemas.openxmlformats.org/spreadsheetml/2006/main" count="1041" uniqueCount="719">
  <si>
    <t>Départ acidité</t>
  </si>
  <si>
    <t>Après correcttion Densité</t>
  </si>
  <si>
    <t>Après correcttion acidité</t>
  </si>
  <si>
    <t xml:space="preserve">Ajout de </t>
  </si>
  <si>
    <t>L</t>
  </si>
  <si>
    <t xml:space="preserve">sulfite </t>
  </si>
  <si>
    <t>Correction</t>
  </si>
  <si>
    <t>/L</t>
  </si>
  <si>
    <t>Malique</t>
  </si>
  <si>
    <t>Tartrique total</t>
  </si>
  <si>
    <t>gr</t>
  </si>
  <si>
    <t>Malique Total</t>
  </si>
  <si>
    <t>Ajout</t>
  </si>
  <si>
    <t>voulue</t>
  </si>
  <si>
    <t>mesurée</t>
  </si>
  <si>
    <t>Différence</t>
  </si>
  <si>
    <t>+</t>
  </si>
  <si>
    <t>levure</t>
  </si>
  <si>
    <t>:</t>
  </si>
  <si>
    <t>Pied de cuve</t>
  </si>
  <si>
    <t>Gr / acide tartrique</t>
  </si>
  <si>
    <t>Remarque</t>
  </si>
  <si>
    <t>Après Pressage</t>
  </si>
  <si>
    <t>correction pour  avoir un vin</t>
  </si>
  <si>
    <t>1/2 sec</t>
  </si>
  <si>
    <t>densité mesuréé</t>
  </si>
  <si>
    <t>nombre de g/L de sucre</t>
  </si>
  <si>
    <t>Volume de  vin</t>
  </si>
  <si>
    <t>sucre total à ajouter</t>
  </si>
  <si>
    <t>densité voulue à la fin</t>
  </si>
  <si>
    <t>Type</t>
  </si>
  <si>
    <t>Taux</t>
  </si>
  <si>
    <t>Sec</t>
  </si>
  <si>
    <t>liquoreux</t>
  </si>
  <si>
    <t>Gr</t>
  </si>
  <si>
    <t>ML</t>
  </si>
  <si>
    <t>Moût</t>
  </si>
  <si>
    <t>litres</t>
  </si>
  <si>
    <t>DL</t>
  </si>
  <si>
    <t>CL</t>
  </si>
  <si>
    <t>,</t>
  </si>
  <si>
    <t>Ml</t>
  </si>
  <si>
    <t>Gelatine</t>
  </si>
  <si>
    <t>1 goutte=0,07</t>
  </si>
  <si>
    <t>La bentonite est un produit naturel (argile) elle convient pour clarifier des vins riches en protéine ou surcollés.</t>
  </si>
  <si>
    <t>Faire gonfler pendant 24 heures la bentonite dans 10 fois son volume d'eau. Eliminer l'eau et mélanger la bentonite au vin.</t>
  </si>
  <si>
    <t>Après 1 à 2 jours soutirer le vin.</t>
  </si>
  <si>
    <t>kg</t>
  </si>
  <si>
    <t>dgr</t>
  </si>
  <si>
    <t>Mgr</t>
  </si>
  <si>
    <t>cgr</t>
  </si>
  <si>
    <t>Vider et mélanger le kiezelsol dans le vin, après 5 à 10 minutes faire la même chose avec la gélatine et attendre 48 heures pour faire le premier soutirage</t>
  </si>
  <si>
    <r>
      <t>Gélatine + kiezelsol</t>
    </r>
    <r>
      <rPr>
        <sz val="11"/>
        <color theme="1"/>
        <rFont val="Calibri"/>
        <family val="2"/>
        <scheme val="minor"/>
      </rPr>
      <t xml:space="preserve"> :                                                    </t>
    </r>
  </si>
  <si>
    <t xml:space="preserve"> il faut mettre la même dose des deux produits.</t>
  </si>
  <si>
    <t>Dose de 20 à 100 gr par 100 litres de vin.</t>
  </si>
  <si>
    <t>Kg</t>
  </si>
  <si>
    <r>
      <rPr>
        <sz val="14"/>
        <color rgb="FFFF0000"/>
        <rFont val="Calibri"/>
        <family val="2"/>
        <scheme val="minor"/>
      </rPr>
      <t>La bentonite  seule</t>
    </r>
    <r>
      <rPr>
        <sz val="11"/>
        <color rgb="FFFF0000"/>
        <rFont val="Calibri"/>
        <family val="2"/>
        <scheme val="minor"/>
      </rPr>
      <t xml:space="preserve">                     </t>
    </r>
  </si>
  <si>
    <t>+     bentonite</t>
  </si>
  <si>
    <t>Dose min</t>
  </si>
  <si>
    <t>Dose Max</t>
  </si>
  <si>
    <t>Après 12 à 24 heures mélanger la gélatine au vin et attendre 2 à 3 jours pour faire un soutirage.</t>
  </si>
  <si>
    <t>il faut 4 fois plus de bentonite que de gélatine. Faire gonfler pendant 24 heures la bentonite dans 10 fois son volume d'eau et la mélanger au vin.</t>
  </si>
  <si>
    <r>
      <t>Gélatine + bentonite</t>
    </r>
    <r>
      <rPr>
        <sz val="11"/>
        <color theme="1"/>
        <rFont val="Calibri"/>
        <family val="2"/>
        <scheme val="minor"/>
      </rPr>
      <t xml:space="preserve"> </t>
    </r>
  </si>
  <si>
    <t>l'autre</t>
  </si>
  <si>
    <t>.</t>
  </si>
  <si>
    <t>+       kiezelsol</t>
  </si>
  <si>
    <t xml:space="preserve">+ l'un ou </t>
  </si>
  <si>
    <t>ajout en 1/2 dose</t>
  </si>
  <si>
    <t>Dose Moy</t>
  </si>
  <si>
    <t>Quant moût</t>
  </si>
  <si>
    <t>Tartrique</t>
  </si>
  <si>
    <t xml:space="preserve">                                                      </t>
  </si>
  <si>
    <t>carbonate de calcium</t>
  </si>
  <si>
    <t>Carbonate de calcium total</t>
  </si>
  <si>
    <t>Gr/L</t>
  </si>
  <si>
    <t>Acidité trop basse</t>
  </si>
  <si>
    <t>Acidité trop Haute</t>
  </si>
  <si>
    <t>Gr pour</t>
  </si>
  <si>
    <t>Date:</t>
  </si>
  <si>
    <t xml:space="preserve">Quantté de </t>
  </si>
  <si>
    <t>vin à eclaircir pour vérifier l'acidité</t>
  </si>
  <si>
    <t>Min</t>
  </si>
  <si>
    <t>Max</t>
  </si>
  <si>
    <t>Dose fabricant pour</t>
  </si>
  <si>
    <t>Charbon actif en granulé</t>
  </si>
  <si>
    <t>Granucol</t>
  </si>
  <si>
    <t>l</t>
  </si>
  <si>
    <t xml:space="preserve">1kg ou </t>
  </si>
  <si>
    <t>SEC</t>
  </si>
  <si>
    <t>1/2 SEC</t>
  </si>
  <si>
    <t>MOELEUX</t>
  </si>
  <si>
    <t>LIQUOREUX</t>
  </si>
  <si>
    <t>DOUX</t>
  </si>
  <si>
    <t>Résiduel</t>
  </si>
  <si>
    <t>Sucre résiduels</t>
  </si>
  <si>
    <t xml:space="preserve">≤ </t>
  </si>
  <si>
    <t xml:space="preserve">FICHE DE CALCUL DE CHAPTALISATION </t>
  </si>
  <si>
    <t xml:space="preserve">  </t>
  </si>
  <si>
    <t xml:space="preserve">Fiche n°: </t>
  </si>
  <si>
    <t>Densité du jus:</t>
  </si>
  <si>
    <t>Total:</t>
  </si>
  <si>
    <t>Nombre de g/l de sucre dans le jus:</t>
  </si>
  <si>
    <t>Teneur en sucre par litre:</t>
  </si>
  <si>
    <t>g</t>
  </si>
  <si>
    <t>Litre de jus obtenu:</t>
  </si>
  <si>
    <t>Sucre total du jus</t>
  </si>
  <si>
    <t>degré ou la levure s'arrtète</t>
  </si>
  <si>
    <t>Alcool souhaité en °:</t>
  </si>
  <si>
    <t>°</t>
  </si>
  <si>
    <t>Sucre par litre pour l'alcool:</t>
  </si>
  <si>
    <t>g/L</t>
  </si>
  <si>
    <t>Sucre résiduel souhaité:</t>
  </si>
  <si>
    <t>Sucre par litre de moût:</t>
  </si>
  <si>
    <t>Densité du moût:</t>
  </si>
  <si>
    <t>Rapport lu dans la table:</t>
  </si>
  <si>
    <t>Litres de moût:</t>
  </si>
  <si>
    <t>Sucre à ajouter par litre de moût:</t>
  </si>
  <si>
    <t>Sucre total du moût:</t>
  </si>
  <si>
    <t>Sucre total du jus:</t>
  </si>
  <si>
    <t>Densité du</t>
  </si>
  <si>
    <t>Jus</t>
  </si>
  <si>
    <t>1.29</t>
  </si>
  <si>
    <t>1.27</t>
  </si>
  <si>
    <t>1.26</t>
  </si>
  <si>
    <t>1.25</t>
  </si>
  <si>
    <t>1.23</t>
  </si>
  <si>
    <t>1.22</t>
  </si>
  <si>
    <t>1.21</t>
  </si>
  <si>
    <t>1.20</t>
  </si>
  <si>
    <t>1.19</t>
  </si>
  <si>
    <t>1.17</t>
  </si>
  <si>
    <t>1.16</t>
  </si>
  <si>
    <t>1.15</t>
  </si>
  <si>
    <t>1.14</t>
  </si>
  <si>
    <t>1.13</t>
  </si>
  <si>
    <t>1.12</t>
  </si>
  <si>
    <t>1.11</t>
  </si>
  <si>
    <t xml:space="preserve"> </t>
  </si>
  <si>
    <t>Densité du vin sucré fini:</t>
  </si>
  <si>
    <t>-3,5</t>
  </si>
  <si>
    <t>Température du moût</t>
  </si>
  <si>
    <t>ajout ou retraît</t>
  </si>
  <si>
    <t>de la densité</t>
  </si>
  <si>
    <t>Densité mesurée</t>
  </si>
  <si>
    <t>Densité réelle du moût</t>
  </si>
  <si>
    <t>Avant pressage</t>
  </si>
  <si>
    <t xml:space="preserve">AROMATIC de Bioferm </t>
  </si>
  <si>
    <t>Fermirouge</t>
  </si>
  <si>
    <t>Uvaferm PM</t>
  </si>
  <si>
    <t>Lalvin Rhône 2056</t>
  </si>
  <si>
    <t>Sucre résiduel</t>
  </si>
  <si>
    <t>GR</t>
  </si>
  <si>
    <t>Fermivin</t>
  </si>
  <si>
    <t>LEVURES</t>
  </si>
  <si>
    <t>Actiflore primeur</t>
  </si>
  <si>
    <t>Actiflore Bayanus</t>
  </si>
  <si>
    <t>bioferm rouge</t>
  </si>
  <si>
    <t>s'arrête à</t>
  </si>
  <si>
    <t>° d'alcool</t>
  </si>
  <si>
    <t>T° de travail</t>
  </si>
  <si>
    <t>min/max</t>
  </si>
  <si>
    <t>12/35</t>
  </si>
  <si>
    <t>BIOFERM BLANC</t>
  </si>
  <si>
    <t>18/30</t>
  </si>
  <si>
    <t>BIOFERM CHAMP</t>
  </si>
  <si>
    <t>Dose/L</t>
  </si>
  <si>
    <t>3/10</t>
  </si>
  <si>
    <t>2/10</t>
  </si>
  <si>
    <t>15/30</t>
  </si>
  <si>
    <t>BIOFERM COOL</t>
  </si>
  <si>
    <t>8/17</t>
  </si>
  <si>
    <t>2/10 +15°</t>
  </si>
  <si>
    <t>3/10 -15°</t>
  </si>
  <si>
    <t>BIOFERM DOUX</t>
  </si>
  <si>
    <t>12/14</t>
  </si>
  <si>
    <t>15/20</t>
  </si>
  <si>
    <t>5/15</t>
  </si>
  <si>
    <t>BIOFERM KILLER</t>
  </si>
  <si>
    <t>10/30</t>
  </si>
  <si>
    <t>BIOFERM MALIC</t>
  </si>
  <si>
    <t>14/15</t>
  </si>
  <si>
    <t>20/30</t>
  </si>
  <si>
    <t>Fermichamps  Bayanus</t>
  </si>
  <si>
    <t>Quantité de sucre ajouté</t>
  </si>
  <si>
    <t>Quantité de liquide en plus dans la tourie</t>
  </si>
  <si>
    <t>Tableau de correspondance entre les différentes échelles [4]</t>
  </si>
  <si>
    <t>Densité à 20 °C</t>
  </si>
  <si>
    <t>Échelle Oechsle</t>
  </si>
  <si>
    <t>Échelle KMW</t>
  </si>
  <si>
    <t>ou Babo</t>
  </si>
  <si>
    <t>Échelle Baumé</t>
  </si>
  <si>
    <t>Teneur</t>
  </si>
  <si>
    <t>en sucres</t>
  </si>
  <si>
    <t>Alcool</t>
  </si>
  <si>
    <t>potentiel</t>
  </si>
  <si>
    <t>(sans unité)</t>
  </si>
  <si>
    <t>° Oe</t>
  </si>
  <si>
    <t>KMw</t>
  </si>
  <si>
    <t>° Bé</t>
  </si>
  <si>
    <t>g/l</t>
  </si>
  <si>
    <t> % vol.</t>
  </si>
  <si>
    <t>Échelle Brix</t>
  </si>
  <si>
    <t>°BX</t>
  </si>
  <si>
    <t>Densité/concentration</t>
  </si>
  <si>
    <t>Teneur en sucre</t>
  </si>
  <si>
    <r>
      <t xml:space="preserve">La </t>
    </r>
    <r>
      <rPr>
        <b/>
        <sz val="11"/>
        <color theme="0"/>
        <rFont val="Arial"/>
        <family val="2"/>
      </rPr>
      <t>teneur en sucre</t>
    </r>
    <r>
      <rPr>
        <sz val="11"/>
        <color theme="0"/>
        <rFont val="Arial"/>
        <family val="2"/>
      </rPr>
      <t xml:space="preserve"> indique la masse des sucres contenus dans un litre de moût. On pourrait la calculer à partir du degré Brix rectifié des matières solides qui ne sont pas du saccharose ou directement à partir du degré KMW. De manière pratique, on la calcule à partir de l'alcool potentiel (Cf. ci-dessous) et du rendement de la réaction de fermentation alcoolique. Plutôt que d'utiliser le rendement théorique de 16,8 g de sucre pour un degré d'alcool, on utilise ici un rendement effectif moyen de 18 g. L'</t>
    </r>
    <r>
      <rPr>
        <b/>
        <sz val="11"/>
        <color theme="0"/>
        <rFont val="Arial"/>
        <family val="2"/>
      </rPr>
      <t>alcool potentiel</t>
    </r>
    <r>
      <rPr>
        <sz val="11"/>
        <color theme="0"/>
        <rFont val="Arial"/>
        <family val="2"/>
      </rPr>
      <t xml:space="preserve"> mesure la capacité du moût à produire de l'éthanol par fermentation des sucres qu'il contient. Cette capacité varie selon de nombreux facteurs et son action peut être incomplète. On peut néanmoins l'estimer directement à partir de la densité.</t>
    </r>
  </si>
  <si>
    <t>Rayon (mètre)</t>
  </si>
  <si>
    <t>Litres</t>
  </si>
  <si>
    <t>5L</t>
  </si>
  <si>
    <t xml:space="preserve">1° alcool/L  = </t>
  </si>
  <si>
    <t>Densité à retrancher: matières sèches</t>
  </si>
  <si>
    <t>Sucres résiduels et types de vins</t>
  </si>
  <si>
    <r>
      <t>Sec</t>
    </r>
    <r>
      <rPr>
        <sz val="11"/>
        <color rgb="FF000000"/>
        <rFont val="Georgia"/>
        <family val="1"/>
      </rPr>
      <t> : moins de 4g/l,</t>
    </r>
  </si>
  <si>
    <r>
      <t>Liquoreux</t>
    </r>
    <r>
      <rPr>
        <sz val="11"/>
        <color rgb="FF000000"/>
        <rFont val="Georgia"/>
        <family val="1"/>
      </rPr>
      <t> : plus de 45g/l (jusqu’à 200 grammes de sucre par litre).</t>
    </r>
  </si>
  <si>
    <t>Quantité de vin</t>
  </si>
  <si>
    <t xml:space="preserve">Type de </t>
  </si>
  <si>
    <t>Vin</t>
  </si>
  <si>
    <t>Mettre les ingrédients séparément et dans le sens indiqué</t>
  </si>
  <si>
    <t>sec</t>
  </si>
  <si>
    <t>Les incorporer intimements</t>
  </si>
  <si>
    <t>Métabisulfite de potassium</t>
  </si>
  <si>
    <t>Grammes</t>
  </si>
  <si>
    <t>Acide Ascorbique</t>
  </si>
  <si>
    <t>avec sucre résiduel</t>
  </si>
  <si>
    <t>Sorbate de potassium</t>
  </si>
  <si>
    <t xml:space="preserve">Vins doux </t>
  </si>
  <si>
    <t>STEINBERG</t>
  </si>
  <si>
    <t>CHAMPAGNE</t>
  </si>
  <si>
    <t>SAUTERNE</t>
  </si>
  <si>
    <t>BOURGOGNE</t>
  </si>
  <si>
    <t>BORDEAUX</t>
  </si>
  <si>
    <t>TOKAY</t>
  </si>
  <si>
    <t>PORTO</t>
  </si>
  <si>
    <t>12/21</t>
  </si>
  <si>
    <t>18/21</t>
  </si>
  <si>
    <t>15/35</t>
  </si>
  <si>
    <t>BIOFERM SC2</t>
  </si>
  <si>
    <t>12/30</t>
  </si>
  <si>
    <t>FERMIBLANC AROM ( killer)</t>
  </si>
  <si>
    <t>Fermivin Cryo</t>
  </si>
  <si>
    <t>20/25</t>
  </si>
  <si>
    <t>22/27</t>
  </si>
  <si>
    <t>BIOFERM LW 317-28</t>
  </si>
  <si>
    <t>8/30</t>
  </si>
  <si>
    <t>Acide Ascorbique = Vitamine C</t>
  </si>
  <si>
    <t>ml</t>
  </si>
  <si>
    <t>Sorbitol</t>
  </si>
  <si>
    <r>
      <t>A</t>
    </r>
    <r>
      <rPr>
        <b/>
        <sz val="11"/>
        <rFont val="Arial"/>
        <family val="2"/>
      </rPr>
      <t>cidité du moût 1 le plus haut</t>
    </r>
  </si>
  <si>
    <t>Quantité du jus 1</t>
  </si>
  <si>
    <t>Acidité voulue</t>
  </si>
  <si>
    <t>Acidité du moût 2 le plus bas</t>
  </si>
  <si>
    <t>Quantité de moût total  désiré</t>
  </si>
  <si>
    <t>Quantité de moût 1</t>
  </si>
  <si>
    <t>Quantité de moût 2</t>
  </si>
  <si>
    <t>Quantité du jus 2</t>
  </si>
  <si>
    <t>Gr De sucre pour</t>
  </si>
  <si>
    <t>la Densité</t>
  </si>
  <si>
    <t>Pour l'acidité</t>
  </si>
  <si>
    <t>eau</t>
  </si>
  <si>
    <t>cerise</t>
  </si>
  <si>
    <t>Citrique</t>
  </si>
  <si>
    <t>OU</t>
  </si>
  <si>
    <t>Lactique 100%</t>
  </si>
  <si>
    <t>Lactique 80%</t>
  </si>
  <si>
    <t>14/18</t>
  </si>
  <si>
    <t>15/28</t>
  </si>
  <si>
    <t>1</t>
  </si>
  <si>
    <t>Moeleux</t>
  </si>
  <si>
    <t>Doux</t>
  </si>
  <si>
    <t>moins de 4 Gr/L</t>
  </si>
  <si>
    <t>max 20 Gr/L</t>
  </si>
  <si>
    <t>12 à  45 Gr/L</t>
  </si>
  <si>
    <t>max  65 Gr/L</t>
  </si>
  <si>
    <t>+ 85 Gr/L</t>
  </si>
  <si>
    <t xml:space="preserve">  kg après égrenage</t>
  </si>
  <si>
    <t>Date</t>
  </si>
  <si>
    <t>Densité</t>
  </si>
  <si>
    <t>si la T° était à 20°</t>
  </si>
  <si>
    <t>Feuille de Piet Wagenaar ( 2011 )</t>
  </si>
  <si>
    <t>Application: Pour l'élimination de l'acide tartrique et l'acide malique</t>
  </si>
  <si>
    <t>Remplir …</t>
  </si>
  <si>
    <t xml:space="preserve">Acidité du mout à désacidifier ( A)   </t>
  </si>
  <si>
    <t xml:space="preserve">  gram /  litre</t>
  </si>
  <si>
    <t>Remplir ...</t>
  </si>
  <si>
    <t xml:space="preserve">Acidité désirée après désacidification (B )  </t>
  </si>
  <si>
    <t xml:space="preserve">Quantité gr / l à acidifier ( C )   </t>
  </si>
  <si>
    <t xml:space="preserve">Quantité totale de moût à désacidifier (D )   </t>
  </si>
  <si>
    <t xml:space="preserve">  liter</t>
  </si>
  <si>
    <t xml:space="preserve">Nombre de grammes pour éliminer l'acide (E)   </t>
  </si>
  <si>
    <t xml:space="preserve">  gram</t>
  </si>
  <si>
    <t xml:space="preserve">Grammes utilisant Acidex </t>
  </si>
  <si>
    <t>Acidification maximale ( F )</t>
  </si>
  <si>
    <t>Cette partie doit être complètement désacidifié ( G )</t>
  </si>
  <si>
    <t>Partie moût qui ne est pas à désacidifier</t>
  </si>
  <si>
    <t>Etape 1</t>
  </si>
  <si>
    <t xml:space="preserve">Prenez un peu de vin , et mélanger pour faire une pâte avec  </t>
  </si>
  <si>
    <t xml:space="preserve">  gram  d'Acidex</t>
  </si>
  <si>
    <t>Etape 2</t>
  </si>
  <si>
    <t xml:space="preserve">Verser la pâte dans un récipient vide et ajouter   </t>
  </si>
  <si>
    <t>L lentement tout en remuant, attention à l'effervescence !</t>
  </si>
  <si>
    <t>Etape 3</t>
  </si>
  <si>
    <r>
      <t xml:space="preserve">Permettre la séparation en cristeaux de </t>
    </r>
    <r>
      <rPr>
        <sz val="10"/>
        <color rgb="FFFF0000"/>
        <rFont val="Arial"/>
        <family val="2"/>
      </rPr>
      <t>15 minutes,</t>
    </r>
  </si>
  <si>
    <t>Etape 4</t>
  </si>
  <si>
    <t xml:space="preserve">Ajouter le reste , à savoir </t>
  </si>
  <si>
    <t>litre</t>
  </si>
  <si>
    <t>Etape 5</t>
  </si>
  <si>
    <t>Il peut même y précipiter les sels . Le lendemain, le transfert doit [ ou décantation]</t>
  </si>
  <si>
    <r>
      <rPr>
        <b/>
        <sz val="10"/>
        <color rgb="FFFF0000"/>
        <rFont val="Arial"/>
        <family val="2"/>
      </rPr>
      <t>ATTENTION</t>
    </r>
    <r>
      <rPr>
        <sz val="10"/>
        <rFont val="Arial"/>
        <family val="2"/>
      </rPr>
      <t xml:space="preserve"> Ne pas laisser Acidex plusieurs jours car cela peut entraîner des défauts de saveur</t>
    </r>
  </si>
  <si>
    <t>Une méthode plus professionnelle est à l'étape 3 après affinement de la désacidification, filtrer sur de la diatomite et puis seulement ajouter le reste du moût .</t>
  </si>
  <si>
    <t>Cette feuille est une meilleure approximation possible lorsque la teneur en acide tartrique et l'acide malique n'est pas connu séparément.</t>
  </si>
  <si>
    <t>Le calcul est prise dans le manuel de VINOFERM Acidex</t>
  </si>
  <si>
    <t>Disclaimer : Piet Wagenaar n'accepte aucune responsabilité pour les effets indésirables possibles de l'utilisation de cette feuille de calcul</t>
  </si>
  <si>
    <t xml:space="preserve">Application: Comme nous avons l'acide malique en trop et peu ou pas d'acide tartrique </t>
  </si>
  <si>
    <t>moût</t>
  </si>
  <si>
    <t xml:space="preserve">Juridique: Dans notre zone viticole UE l'ajout d'acide tartrique n'est autorisée que pour un  vin </t>
  </si>
  <si>
    <t>vin</t>
  </si>
  <si>
    <t>Choisissez d'abord : moûts ou vin</t>
  </si>
  <si>
    <t>La quantité de vin</t>
  </si>
  <si>
    <t xml:space="preserve">  litre</t>
  </si>
  <si>
    <t>Otez l'acide</t>
  </si>
  <si>
    <t xml:space="preserve">  gram / litre [3 pour vin, 2 pour moût]</t>
  </si>
  <si>
    <t>Acidité mesurée</t>
  </si>
  <si>
    <t xml:space="preserve">  gram / litre</t>
  </si>
  <si>
    <t>Acide résiduel en partie acidifiée</t>
  </si>
  <si>
    <t>Acidité Désirée</t>
  </si>
  <si>
    <t>Vin qui sera acidifié</t>
  </si>
  <si>
    <t>Acide tartrique Exigé</t>
  </si>
  <si>
    <t>Acidex ou Neoanticid</t>
  </si>
  <si>
    <t>Tourie</t>
  </si>
  <si>
    <t>Litres ( ou une tourie plus grande à cause de la  mousse produite]</t>
  </si>
  <si>
    <t>Quantité à soutirer du vin</t>
  </si>
  <si>
    <t>litres [pour une deacidification entièrement et plus tard l'ajouter dans le reste ]</t>
  </si>
  <si>
    <t>grammes d'acide tartrique</t>
  </si>
  <si>
    <t>Ajoutez maintenant l'acide tartrique dissous au vin, et mélangez bien</t>
  </si>
  <si>
    <t>Peser</t>
  </si>
  <si>
    <t xml:space="preserve">  gram Acidex ou Neoanticid</t>
  </si>
  <si>
    <t>Soutirer un peu de vin de la partie à désacidifier, melanger l'acidex ou le néoantiacid en remuant fortement</t>
  </si>
  <si>
    <t>Ajoutez soigneusement (cela peut mousser!) et continuer à remuer jusqu'à ce que tout le CO2 s'échappe,</t>
  </si>
  <si>
    <t>Le pH devrait être au-dessus des 4.5 et rester autrement il n'y a aucun sel double formé, ajouter donc lentement et continuer à remuer, le CO2 doit être dehors!</t>
  </si>
  <si>
    <t>Continuez jusqu'à tout</t>
  </si>
  <si>
    <t>litres de vin sont ajoutés, en remuant bien jusqu'à disparation du CO2</t>
  </si>
  <si>
    <t>Laissez maintenant le mélange se faire et attendre jusqu'à ce que le vin soit clair. Placer un barboteur</t>
  </si>
  <si>
    <t>Ajoutez maintenant l'acide tartrique :</t>
  </si>
  <si>
    <t>Siphonnez après un jour</t>
  </si>
  <si>
    <t>Mesurez l'acidité pour voir si le test a eu du succès et le résultat</t>
  </si>
  <si>
    <t>Disclaimer: Piet Wagenaar et Ed Montforts  n'acceptent aucune responsabilité pour les effets indésirables possibles de l'utilisation de cette feuille de calcul</t>
  </si>
  <si>
    <t>Vous dissolvez dans l'eau</t>
  </si>
  <si>
    <t xml:space="preserve">  litres</t>
  </si>
  <si>
    <t>Ceci peut prendre pendant quelque temps. Après quelques heures passer à la prochaine étape. Attention le vin désacidifié est susceptible à l'infection bactériennes</t>
  </si>
  <si>
    <t>Siphonnez du vin clair . N'essayez pas de transférer le fond parce qu'alors il y a du sel!</t>
  </si>
  <si>
    <t>Ajoutez le produit désacidifié avec la partie qui n'est pas désacidifiée</t>
  </si>
  <si>
    <t>Gram</t>
  </si>
  <si>
    <t xml:space="preserve"> DESACIDIFICATION avec ACIDEX</t>
  </si>
  <si>
    <t>DESACIDIFICATION</t>
  </si>
  <si>
    <t>10L</t>
  </si>
  <si>
    <t>15L</t>
  </si>
  <si>
    <t>cm</t>
  </si>
  <si>
    <t>Quelle quantité de liquide dans ma tourie?</t>
  </si>
  <si>
    <r>
      <t xml:space="preserve">Le </t>
    </r>
    <r>
      <rPr>
        <b/>
        <sz val="11"/>
        <color theme="0"/>
        <rFont val="Arial"/>
        <family val="2"/>
      </rPr>
      <t>degré Oechsle</t>
    </r>
    <r>
      <rPr>
        <sz val="11"/>
        <color theme="0"/>
        <rFont val="Arial"/>
        <family val="2"/>
      </rPr>
      <t xml:space="preserve"> mesure la densité du moût à 20 °C, sa valeur est obtenue à partir de la densité, en lui retranchant 1 et en multipliant le résultat par 1000.                                                                                                                                                                                                                                   Le </t>
    </r>
    <r>
      <rPr>
        <b/>
        <sz val="11"/>
        <color theme="0"/>
        <rFont val="Arial"/>
        <family val="2"/>
      </rPr>
      <t>degré Baumé</t>
    </r>
    <r>
      <rPr>
        <sz val="11"/>
        <color theme="0"/>
        <rFont val="Arial"/>
        <family val="2"/>
      </rPr>
      <t xml:space="preserve"> est une échelle de concentration calculée à partir de la densité.                                                                                                                                                  Le </t>
    </r>
    <r>
      <rPr>
        <b/>
        <sz val="11"/>
        <color theme="0"/>
        <rFont val="Arial"/>
        <family val="2"/>
      </rPr>
      <t>degré Brix</t>
    </r>
    <r>
      <rPr>
        <sz val="11"/>
        <color theme="0"/>
        <rFont val="Arial"/>
        <family val="2"/>
      </rPr>
      <t xml:space="preserve"> mesure la masse de sucre sous forme de saccharose contenu dans un 100 g de solution. Quand la solution contient des solides dissous autres que du saccharose (ce qui est le cas du moût de raisin qui contient essentiellement du glucose et du fructose), le degré Brix mesure approximativement le poids de l'extrait sec. Le </t>
    </r>
    <r>
      <rPr>
        <b/>
        <sz val="11"/>
        <color theme="0"/>
        <rFont val="Arial"/>
        <family val="2"/>
      </rPr>
      <t>degré KMW</t>
    </r>
    <r>
      <rPr>
        <sz val="11"/>
        <color theme="0"/>
        <rFont val="Arial"/>
        <family val="2"/>
      </rPr>
      <t xml:space="preserve"> (Klosterneuburger Mostwaage), nommé aussi Babo, mesure la masse des sucres pour 100 g de solution. Les valeurs des degrés Brix et KMW peuvent être estimés directement à partir de la densité du moût, en tenant compte des propriétés chimiques générales des moûts de raisin.</t>
    </r>
  </si>
  <si>
    <t>il peut parfois prendre plus de temps . Après quelques heures de transfert,</t>
  </si>
  <si>
    <r>
      <rPr>
        <b/>
        <sz val="10"/>
        <color rgb="FFFF0000"/>
        <rFont val="Arial"/>
        <family val="2"/>
      </rPr>
      <t>attention</t>
    </r>
    <r>
      <rPr>
        <sz val="10"/>
        <rFont val="Arial"/>
        <family val="2"/>
      </rPr>
      <t xml:space="preserve"> car  en raison du pH élevé le vin est mal protégé contre les bactéries</t>
    </r>
  </si>
  <si>
    <t>Ne modifier que les cellules oranges</t>
  </si>
  <si>
    <t xml:space="preserve">Malique </t>
  </si>
  <si>
    <t>citrique</t>
  </si>
  <si>
    <t>Partie des données</t>
  </si>
  <si>
    <t>Parties des mesures</t>
  </si>
  <si>
    <t>Vin blanc  et vin de fruits sans macération</t>
  </si>
  <si>
    <t>Vin doux de fruits avec sucre résiduel avec Malo</t>
  </si>
  <si>
    <t>ex rhubarbe</t>
  </si>
  <si>
    <t>Broyage</t>
  </si>
  <si>
    <t>Pressage</t>
  </si>
  <si>
    <t>1er soutirage</t>
  </si>
  <si>
    <t>2ème soutirage et suivant</t>
  </si>
  <si>
    <t>et mise en bouteilles</t>
  </si>
  <si>
    <t>mise en bouteilles</t>
  </si>
  <si>
    <t>Vin Rouge de fruits avec Malo</t>
  </si>
  <si>
    <t xml:space="preserve">Cerise mures </t>
  </si>
  <si>
    <t>Sucre non fermenticide</t>
  </si>
  <si>
    <t>15 Gr de Sorbitol est égal à 8 Gr de sucre</t>
  </si>
  <si>
    <t>Max/L</t>
  </si>
  <si>
    <t>info de topsante.com</t>
  </si>
  <si>
    <t>l'ajout d'acide est 2/3 de tartrique et 1/3 de celui qui est dessous</t>
  </si>
  <si>
    <t>Ml/L</t>
  </si>
  <si>
    <t>Lactique liquide 80%</t>
  </si>
  <si>
    <t>15/25</t>
  </si>
  <si>
    <t>2,5/10</t>
  </si>
  <si>
    <t>Un vin contenant moins de 4 grammes par litre de sucres résiduels mesurés à l’analyse est considérés comme sec                                       (donc presque tout le sucre a été transformé en alcool) :</t>
  </si>
  <si>
    <t>vin sec à</t>
  </si>
  <si>
    <t>10°</t>
  </si>
  <si>
    <t>11°</t>
  </si>
  <si>
    <t>12°</t>
  </si>
  <si>
    <t>13°</t>
  </si>
  <si>
    <t>14°</t>
  </si>
  <si>
    <t>15°</t>
  </si>
  <si>
    <t>16°</t>
  </si>
  <si>
    <t>17°</t>
  </si>
  <si>
    <t>18°</t>
  </si>
  <si>
    <t>Densité du vin sec: voir table ci-contre</t>
  </si>
  <si>
    <r>
      <t>Demi-sec</t>
    </r>
    <r>
      <rPr>
        <sz val="11"/>
        <color rgb="FF000000"/>
        <rFont val="Georgia"/>
        <family val="1"/>
      </rPr>
      <t> : de 10 à 28 g/l,</t>
    </r>
  </si>
  <si>
    <t>attention la partie bleue clair est à titre d'info mais pas certaine</t>
  </si>
  <si>
    <r>
      <t>Moelleux</t>
    </r>
    <r>
      <rPr>
        <sz val="11"/>
        <color rgb="FF000000"/>
        <rFont val="Georgia"/>
        <family val="1"/>
      </rPr>
      <t> : de 29 à 40 g/l,</t>
    </r>
  </si>
  <si>
    <t>Sec : moins de 4g/l,</t>
  </si>
  <si>
    <t>Demi-sec : de 10 à 28 g/l,</t>
  </si>
  <si>
    <t>Moelleux : de 29 à 40 g/l,</t>
  </si>
  <si>
    <t>Liquoreux : plus de 45g/l (jusqu’à 200 grammes de sucre par litre).</t>
  </si>
  <si>
    <t>Un vin contenant moins de 4 grammes par litre de sucres résiduels mesurés à l’analyse est considérés comme sec (donc presque tout le sucre a été transformé en alcool) :</t>
  </si>
  <si>
    <t>miel</t>
  </si>
  <si>
    <t>Lactose</t>
  </si>
  <si>
    <t>Maltose</t>
  </si>
  <si>
    <t>Glucose</t>
  </si>
  <si>
    <t>Fructose</t>
  </si>
  <si>
    <t>Saccharose</t>
  </si>
  <si>
    <t>Sucres</t>
  </si>
  <si>
    <t>Polyols (sucres-alcools)</t>
  </si>
  <si>
    <t>Edulcorants intenses</t>
  </si>
  <si>
    <t>Naturels</t>
  </si>
  <si>
    <t>Synthétiques</t>
  </si>
  <si>
    <t>Néohespéridine  dihydrochalcone</t>
  </si>
  <si>
    <t>0,5-0,6</t>
  </si>
  <si>
    <t>Mannitol</t>
  </si>
  <si>
    <t>Isomalt</t>
  </si>
  <si>
    <t>Maltitol</t>
  </si>
  <si>
    <t>Lactitol</t>
  </si>
  <si>
    <t>0,3-0,4</t>
  </si>
  <si>
    <t>Xylitol</t>
  </si>
  <si>
    <t>0,9-1</t>
  </si>
  <si>
    <t>Erythritol</t>
  </si>
  <si>
    <t>0,4-0,7</t>
  </si>
  <si>
    <t>Thaumatine</t>
  </si>
  <si>
    <t>2000-3000</t>
  </si>
  <si>
    <t>Monelline</t>
  </si>
  <si>
    <t>1500-2000</t>
  </si>
  <si>
    <t>Stévioside-rébaudioside</t>
  </si>
  <si>
    <t>200-300</t>
  </si>
  <si>
    <t>Glycyrrhizine</t>
  </si>
  <si>
    <t>50-100</t>
  </si>
  <si>
    <t>Saccharine</t>
  </si>
  <si>
    <t>Cyclamate</t>
  </si>
  <si>
    <t>Aspartame</t>
  </si>
  <si>
    <t>Dulcine</t>
  </si>
  <si>
    <t>Alitame</t>
  </si>
  <si>
    <t>Sucralose</t>
  </si>
  <si>
    <t>400-600</t>
  </si>
  <si>
    <t>La référence en pouvoir sucrant est la saccharose</t>
  </si>
  <si>
    <t>Acésulfame K</t>
  </si>
  <si>
    <t>Calculatrices de dilution</t>
  </si>
  <si>
    <t>Pour avoir un pourcentage d'alcool voulu</t>
  </si>
  <si>
    <t>Diluer</t>
  </si>
  <si>
    <t xml:space="preserve">Alcool à </t>
  </si>
  <si>
    <t>%</t>
  </si>
  <si>
    <t xml:space="preserve">pour avoir du </t>
  </si>
  <si>
    <t>d'eau</t>
  </si>
  <si>
    <t>Pour avoir une quantité d'alcool fini</t>
  </si>
  <si>
    <t>Pour faire</t>
  </si>
  <si>
    <t>utiliser</t>
  </si>
  <si>
    <t xml:space="preserve">L </t>
  </si>
  <si>
    <t>d'alcool</t>
  </si>
  <si>
    <t>et</t>
  </si>
  <si>
    <t>-0,2</t>
  </si>
  <si>
    <t>-0,4</t>
  </si>
  <si>
    <t>-1,4</t>
  </si>
  <si>
    <t>-1,1</t>
  </si>
  <si>
    <t>-0,9</t>
  </si>
  <si>
    <t>+0,2</t>
  </si>
  <si>
    <t>+0,4</t>
  </si>
  <si>
    <t>+0,9</t>
  </si>
  <si>
    <t>+1,1</t>
  </si>
  <si>
    <t>+1,4</t>
  </si>
  <si>
    <t>Selon le livre de Marc De Brouwer</t>
  </si>
  <si>
    <t>Nom</t>
  </si>
  <si>
    <t>Volume</t>
  </si>
  <si>
    <t>Origine</t>
  </si>
  <si>
    <t>mignonette</t>
  </si>
  <si>
    <t>5 cl</t>
  </si>
  <si>
    <t>-</t>
  </si>
  <si>
    <t>magnum</t>
  </si>
  <si>
    <t>1,5 l</t>
  </si>
  <si>
    <t>2 bouteilles</t>
  </si>
  <si>
    <t>demi-bouteille</t>
  </si>
  <si>
    <t>35 cl</t>
  </si>
  <si>
    <t>Rhin</t>
  </si>
  <si>
    <t>jéroboam</t>
  </si>
  <si>
    <t>3 l</t>
  </si>
  <si>
    <t>4 bouteilles</t>
  </si>
  <si>
    <t>fillette</t>
  </si>
  <si>
    <t>37,5 cl</t>
  </si>
  <si>
    <t>Loire</t>
  </si>
  <si>
    <t>réhoboam</t>
  </si>
  <si>
    <t>4,5 l</t>
  </si>
  <si>
    <t>6 bouteilles</t>
  </si>
  <si>
    <t>pot lyonnais</t>
  </si>
  <si>
    <t>46 cl</t>
  </si>
  <si>
    <t>Lyon</t>
  </si>
  <si>
    <t>mathusalem</t>
  </si>
  <si>
    <t>6 l</t>
  </si>
  <si>
    <t>8 bouteilles</t>
  </si>
  <si>
    <t>Désirée</t>
  </si>
  <si>
    <t>50 cl</t>
  </si>
  <si>
    <t>Suisse</t>
  </si>
  <si>
    <t>salmanazar</t>
  </si>
  <si>
    <t>9 l</t>
  </si>
  <si>
    <t>12 bouteilles</t>
  </si>
  <si>
    <t>clavelin</t>
  </si>
  <si>
    <t>62 cl</t>
  </si>
  <si>
    <t>Jura</t>
  </si>
  <si>
    <t>balthasar</t>
  </si>
  <si>
    <t>12 l</t>
  </si>
  <si>
    <t>16 bouteilles</t>
  </si>
  <si>
    <t>bouteille</t>
  </si>
  <si>
    <t>75 cl</t>
  </si>
  <si>
    <t>nabuchodonosor</t>
  </si>
  <si>
    <t>15 l</t>
  </si>
  <si>
    <t>20 bouteilles</t>
  </si>
  <si>
    <t>flûte</t>
  </si>
  <si>
    <t>Moselle</t>
  </si>
  <si>
    <t>salomon</t>
  </si>
  <si>
    <t>18 l</t>
  </si>
  <si>
    <t>24 bouteilles</t>
  </si>
  <si>
    <t>Namuroise</t>
  </si>
  <si>
    <t>80 cl</t>
  </si>
  <si>
    <t>Namur</t>
  </si>
  <si>
    <t>souverain</t>
  </si>
  <si>
    <t>26,25 l</t>
  </si>
  <si>
    <t>35 bouteilles</t>
  </si>
  <si>
    <t>grosse panse</t>
  </si>
  <si>
    <t>1,28 l</t>
  </si>
  <si>
    <t>Liège</t>
  </si>
  <si>
    <t>primat</t>
  </si>
  <si>
    <t>27 l</t>
  </si>
  <si>
    <t>36 bouteilles</t>
  </si>
  <si>
    <t>fiasque</t>
  </si>
  <si>
    <t>Chianti</t>
  </si>
  <si>
    <t>melchizédec</t>
  </si>
  <si>
    <t>30 l</t>
  </si>
  <si>
    <t>40 bouteilles</t>
  </si>
  <si>
    <t>dame-jeanne</t>
  </si>
  <si>
    <t>10 l</t>
  </si>
  <si>
    <t>Provence</t>
  </si>
  <si>
    <t>méthode Claude Minsart</t>
  </si>
  <si>
    <t xml:space="preserve">avec de l'Alcool à </t>
  </si>
  <si>
    <t xml:space="preserve">à </t>
  </si>
  <si>
    <t>je dois</t>
  </si>
  <si>
    <t>Quantité au pressage</t>
  </si>
  <si>
    <t>Quantité  de liquide</t>
  </si>
  <si>
    <t>KG</t>
  </si>
  <si>
    <t>total sucre</t>
  </si>
  <si>
    <t>reste</t>
  </si>
  <si>
    <t>gr/ml</t>
  </si>
  <si>
    <t>0,5gr/10L</t>
  </si>
  <si>
    <t>Ml à mettre</t>
  </si>
  <si>
    <t>foulage/Broyage</t>
  </si>
  <si>
    <t>sulite</t>
  </si>
  <si>
    <t>et suivants</t>
  </si>
  <si>
    <t>2ème soutirage</t>
  </si>
  <si>
    <t>L ou kg</t>
  </si>
  <si>
    <t>1ml =</t>
  </si>
  <si>
    <t>ou</t>
  </si>
  <si>
    <t>ml / acide</t>
  </si>
  <si>
    <t xml:space="preserve"> jus de  </t>
  </si>
  <si>
    <t>OENOFERM FREDDO</t>
  </si>
  <si>
    <t>2/3</t>
  </si>
  <si>
    <t>8/20</t>
  </si>
  <si>
    <t>8/10</t>
  </si>
  <si>
    <t>7/15</t>
  </si>
  <si>
    <t>10/16</t>
  </si>
  <si>
    <t>12/15</t>
  </si>
  <si>
    <t>12/16</t>
  </si>
  <si>
    <t>14/16</t>
  </si>
  <si>
    <t>BEAUJOLAIS (n'existe plus)</t>
  </si>
  <si>
    <t>CHABLIS   (n'existe plus)</t>
  </si>
  <si>
    <t>7/9</t>
  </si>
  <si>
    <t>Assmannshausen ( vin léger)</t>
  </si>
  <si>
    <t>Liebfraumilch</t>
  </si>
  <si>
    <t>9/11</t>
  </si>
  <si>
    <t>Würzburger Stein (vin type sylvaner)</t>
  </si>
  <si>
    <r>
      <t>sherry (</t>
    </r>
    <r>
      <rPr>
        <sz val="9"/>
        <color theme="1"/>
        <rFont val="Calibri"/>
        <family val="2"/>
        <scheme val="minor"/>
      </rPr>
      <t>groseille à maquereau, miel et vins légers)</t>
    </r>
  </si>
  <si>
    <t>Arauner (kitzinger)</t>
  </si>
  <si>
    <t>sîte pour achat</t>
  </si>
  <si>
    <t>Bernkastel( Baie rouge)</t>
  </si>
  <si>
    <t>Malaga (pêche, mirabelle, églantier, fraise)</t>
  </si>
  <si>
    <t>janvier</t>
  </si>
  <si>
    <t>février</t>
  </si>
  <si>
    <t>mars</t>
  </si>
  <si>
    <t>avril</t>
  </si>
  <si>
    <t>mai</t>
  </si>
  <si>
    <t>juin</t>
  </si>
  <si>
    <t>juillet</t>
  </si>
  <si>
    <t>août</t>
  </si>
  <si>
    <t>septembre</t>
  </si>
  <si>
    <t>octobre</t>
  </si>
  <si>
    <t>novembre</t>
  </si>
  <si>
    <t>décembre</t>
  </si>
  <si>
    <t>pomme</t>
  </si>
  <si>
    <t>Steinberg</t>
  </si>
  <si>
    <t>Abricot</t>
  </si>
  <si>
    <t>Porto / Malaga</t>
  </si>
  <si>
    <t>poire</t>
  </si>
  <si>
    <t>mûre</t>
  </si>
  <si>
    <t>Bourgogne / Bordeaux</t>
  </si>
  <si>
    <t>fraise</t>
  </si>
  <si>
    <t>églantier</t>
  </si>
  <si>
    <t>Porto / Malaga / Sherry</t>
  </si>
  <si>
    <t>Myrtille (myrtille)</t>
  </si>
  <si>
    <t>framboise</t>
  </si>
  <si>
    <t>Bourgogne / porto</t>
  </si>
  <si>
    <t>Sureau (fleur)</t>
  </si>
  <si>
    <t>Porto / peau de Sauternes</t>
  </si>
  <si>
    <t>Sureau (fruit)</t>
  </si>
  <si>
    <t>groseille</t>
  </si>
  <si>
    <t>Steinberg / Assmannshausen</t>
  </si>
  <si>
    <t>kiwi</t>
  </si>
  <si>
    <t>Porto / Samos / Sherry</t>
  </si>
  <si>
    <t>Mirabelle</t>
  </si>
  <si>
    <t>pêche</t>
  </si>
  <si>
    <t>Porto / Samos</t>
  </si>
  <si>
    <t>prune</t>
  </si>
  <si>
    <t>Porto / Bourgogne</t>
  </si>
  <si>
    <t>canneberge</t>
  </si>
  <si>
    <t>coing</t>
  </si>
  <si>
    <t>rhubarbe</t>
  </si>
  <si>
    <t>prunellier</t>
  </si>
  <si>
    <t>groseillier</t>
  </si>
  <si>
    <t>Porto / sherry</t>
  </si>
  <si>
    <t>guigne</t>
  </si>
  <si>
    <t>grain de raisin</t>
  </si>
  <si>
    <t>Steinberg (blanc) / Bordeaux (rouge)</t>
  </si>
  <si>
    <t>porto</t>
  </si>
  <si>
    <t xml:space="preserve">Bourgogne </t>
  </si>
  <si>
    <t>Porto / Haut de Sauternes</t>
  </si>
  <si>
    <t>Cerise</t>
  </si>
  <si>
    <t>baie sorbier</t>
  </si>
  <si>
    <t>Type de levure selon Kitsinger pour une récolte de fruits en Belgique</t>
  </si>
  <si>
    <t>Fin théorique du vin:</t>
  </si>
  <si>
    <t xml:space="preserve">ou </t>
  </si>
  <si>
    <t>Ml à 5%</t>
  </si>
  <si>
    <t xml:space="preserve">pour les 8° </t>
  </si>
  <si>
    <t>sucre minimum mis pour atteindre 8°</t>
  </si>
  <si>
    <t>Quantité de sucre restante  à mettre 4X</t>
  </si>
  <si>
    <t>Nombre de bouteilles</t>
  </si>
  <si>
    <t xml:space="preserve">litre = </t>
  </si>
  <si>
    <t>x 25 ml</t>
  </si>
  <si>
    <t>Nbre de gouttes /25ml</t>
  </si>
  <si>
    <t>Nbre de gouttes /L</t>
  </si>
  <si>
    <t>quantité de vin à traiter</t>
  </si>
  <si>
    <t xml:space="preserve">Litres = </t>
  </si>
  <si>
    <t xml:space="preserve">gouttes pour </t>
  </si>
  <si>
    <t>volume d'1 goutte</t>
  </si>
  <si>
    <t xml:space="preserve">ml total </t>
  </si>
  <si>
    <t xml:space="preserve">verre </t>
  </si>
  <si>
    <t>mg</t>
  </si>
  <si>
    <t>100ml</t>
  </si>
  <si>
    <t>Anti-pectine</t>
  </si>
  <si>
    <t>Procédure :</t>
  </si>
  <si>
    <t>Une goutte est égale à 0,05ml</t>
  </si>
  <si>
    <t>Quantité : min : 2mg/L  ou max : 10mg/L</t>
  </si>
  <si>
    <t>mélanger et ensuite sentir, goutter une toute petite dose et de préférence recracher.</t>
  </si>
  <si>
    <r>
      <t>Diluer 1mg (0.001 gr) dans 100ml</t>
    </r>
    <r>
      <rPr>
        <sz val="14"/>
        <color rgb="FFFF0000"/>
        <rFont val="Calibri"/>
        <family val="2"/>
        <scheme val="minor"/>
      </rPr>
      <t xml:space="preserve">  </t>
    </r>
    <r>
      <rPr>
        <sz val="14"/>
        <color theme="1"/>
        <rFont val="Calibri"/>
        <family val="2"/>
        <scheme val="minor"/>
      </rPr>
      <t>de d’eau et mettre dans une échelle de flacon avec la même quantité de vin (25ml)</t>
    </r>
  </si>
  <si>
    <t>Total ajouté</t>
  </si>
  <si>
    <t>sucre prévu pour 12°</t>
  </si>
  <si>
    <t xml:space="preserve"> et en y mettant 1 goutte dans le premier, 2 dans le second et ainsi de suite, </t>
  </si>
  <si>
    <t>Je vous demanderai de respecter mon travail et de ne pas le diffuser sur internet ni à d'autres connaissances</t>
  </si>
  <si>
    <t>Allez maintenant à la 1ère feuille (feuille de mesures), bon travail et bon amusement,                                                     Merci Didier</t>
  </si>
  <si>
    <t>traités de vinification,</t>
  </si>
  <si>
    <t xml:space="preserve">Bonjour, ce fichier est le travail de plusieur années de mise en place de formules reprises dans des  </t>
  </si>
  <si>
    <t>voir sur la feuille levures</t>
  </si>
  <si>
    <t>Rendement</t>
  </si>
  <si>
    <t>Ne modifier que les cellules Orange</t>
  </si>
  <si>
    <t>ne modifier modifier que les cellules Oranges</t>
  </si>
  <si>
    <t>carbonate calcium</t>
  </si>
  <si>
    <t>Néoanticid</t>
  </si>
  <si>
    <t>Eau</t>
  </si>
  <si>
    <t>Gr ou       Litres</t>
  </si>
  <si>
    <t>faites un choix</t>
  </si>
  <si>
    <t>Faites un choix</t>
  </si>
  <si>
    <t>Freddo</t>
  </si>
  <si>
    <t>Riesling</t>
  </si>
  <si>
    <t>Oenofermrouge</t>
  </si>
  <si>
    <t>Oenoferm color</t>
  </si>
  <si>
    <t>Oenoferm bouquet</t>
  </si>
  <si>
    <t>ne modifier que les cellules orange</t>
  </si>
  <si>
    <t>- Volume d'un cylindre</t>
  </si>
  <si>
    <r>
      <t>Volume tronc de cône</t>
    </r>
    <r>
      <rPr>
        <vertAlign val="subscript"/>
        <sz val="11"/>
        <color theme="1"/>
        <rFont val="Times New Roman"/>
        <family val="1"/>
      </rPr>
      <t>=</t>
    </r>
  </si>
  <si>
    <t>(H × π/3) × ( R1² + r1² + R1 × r1 )</t>
  </si>
  <si>
    <t>Les mesures se mettent en millimètres</t>
  </si>
  <si>
    <t>V = PI × r² × p</t>
  </si>
  <si>
    <t>épaisseur plastic millimètre</t>
  </si>
  <si>
    <t>R1</t>
  </si>
  <si>
    <t>r1</t>
  </si>
  <si>
    <t>R2</t>
  </si>
  <si>
    <t>r2</t>
  </si>
  <si>
    <t>H intérieure</t>
  </si>
  <si>
    <t>Aire (m2)</t>
  </si>
  <si>
    <t>Hauteur (mètre)</t>
  </si>
  <si>
    <t>Volume   (m3)</t>
  </si>
  <si>
    <t>volume en cm³</t>
  </si>
  <si>
    <t>volume en litres</t>
  </si>
  <si>
    <t>soit</t>
  </si>
  <si>
    <t xml:space="preserve">Hauteur du trait à faire à l'extérieure à partir du bas </t>
  </si>
  <si>
    <t>+3,5</t>
  </si>
  <si>
    <t>+4,5</t>
  </si>
  <si>
    <t>+4</t>
  </si>
  <si>
    <t>+3</t>
  </si>
  <si>
    <t>+1,5</t>
  </si>
  <si>
    <t>+1,3</t>
  </si>
  <si>
    <t>+1,2</t>
  </si>
  <si>
    <t>+0,8</t>
  </si>
  <si>
    <t>+0,6</t>
  </si>
  <si>
    <t>-0,7</t>
  </si>
  <si>
    <t>-1,7</t>
  </si>
  <si>
    <t>-1,9</t>
  </si>
  <si>
    <t>-2,2</t>
  </si>
  <si>
    <t>-2,5</t>
  </si>
  <si>
    <t>Deux  cellules peuvent être modifiées c’est celle de l’acidité pour la faire monter cliquer dessus et choisir dans la liste proposée, ainsi que celle qui permet de faire descendre l'acidité.</t>
  </si>
  <si>
    <t>indices de la feuille de chaptalisation</t>
  </si>
  <si>
    <t>Sucre total manquant:</t>
  </si>
  <si>
    <t xml:space="preserve">ou 2/3 + 1/3 </t>
  </si>
  <si>
    <t>choix</t>
  </si>
  <si>
    <t>Solution à 5%</t>
  </si>
  <si>
    <t>Sulfite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</si>
</sst>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 _€_-;\-* #,##0.00\ _€_-;_-* &quot;-&quot;??\ _€_-;_-@_-"/>
    <numFmt numFmtId="165" formatCode="dd/mm/yy;@"/>
    <numFmt numFmtId="166" formatCode="0.0"/>
    <numFmt numFmtId="167" formatCode="0.000\.000"/>
    <numFmt numFmtId="168" formatCode="_-* #,##0.0\ _€_-;\-* #,##0.0\ _€_-;_-* &quot;-&quot;??\ _€_-;_-@_-"/>
    <numFmt numFmtId="169" formatCode="0.000"/>
    <numFmt numFmtId="170" formatCode="0.000???"/>
    <numFmt numFmtId="171" formatCode="0.0_ ;[Red]\-0.0\ "/>
    <numFmt numFmtId="172" formatCode="#,##0.0"/>
    <numFmt numFmtId="173" formatCode="d/mm/yy;@"/>
  </numFmts>
  <fonts count="74" x14ac:knownFonts="1">
    <font>
      <sz val="11"/>
      <color theme="1"/>
      <name val="Calibri"/>
      <family val="2"/>
      <scheme val="minor"/>
    </font>
    <font>
      <sz val="18"/>
      <color theme="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1"/>
      <color rgb="FFFF0000"/>
      <name val="Calibri"/>
      <family val="2"/>
      <scheme val="minor"/>
    </font>
    <font>
      <sz val="8"/>
      <color indexed="81"/>
      <name val="Tahoma"/>
      <family val="2"/>
    </font>
    <font>
      <sz val="22"/>
      <color theme="1"/>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4"/>
      <color rgb="FFFF0000"/>
      <name val="Calibri"/>
      <family val="2"/>
      <scheme val="minor"/>
    </font>
    <font>
      <u/>
      <sz val="11"/>
      <color rgb="FFFF0000"/>
      <name val="Calibri"/>
      <family val="2"/>
      <scheme val="minor"/>
    </font>
    <font>
      <b/>
      <sz val="18"/>
      <color rgb="FFFF0000"/>
      <name val="Calibri"/>
      <family val="2"/>
      <scheme val="minor"/>
    </font>
    <font>
      <sz val="24"/>
      <color rgb="FFFF0000"/>
      <name val="Calibri"/>
      <family val="2"/>
      <scheme val="minor"/>
    </font>
    <font>
      <sz val="11"/>
      <color theme="1"/>
      <name val="Calibri"/>
      <family val="2"/>
      <scheme val="minor"/>
    </font>
    <font>
      <sz val="16"/>
      <color theme="1"/>
      <name val="Calibri"/>
      <family val="2"/>
      <scheme val="minor"/>
    </font>
    <font>
      <sz val="11"/>
      <color rgb="FF99FF99"/>
      <name val="Calibri"/>
      <family val="2"/>
      <scheme val="minor"/>
    </font>
    <font>
      <sz val="11"/>
      <color rgb="FF99FF99"/>
      <name val="Calibri"/>
      <family val="2"/>
    </font>
    <font>
      <sz val="11"/>
      <color rgb="FF0000FF"/>
      <name val="Calibri"/>
      <family val="2"/>
      <scheme val="minor"/>
    </font>
    <font>
      <b/>
      <sz val="14"/>
      <color rgb="FF0000FF"/>
      <name val="Calibri"/>
      <family val="2"/>
      <scheme val="minor"/>
    </font>
    <font>
      <sz val="12"/>
      <color theme="1"/>
      <name val="Times New Roman"/>
      <family val="1"/>
    </font>
    <font>
      <sz val="9"/>
      <color rgb="FF000000"/>
      <name val="Verdana"/>
      <family val="2"/>
    </font>
    <font>
      <sz val="8"/>
      <color rgb="FF000000"/>
      <name val="Verdana"/>
      <family val="2"/>
    </font>
    <font>
      <u/>
      <sz val="11"/>
      <color theme="10"/>
      <name val="Calibri"/>
      <family val="2"/>
    </font>
    <font>
      <sz val="10"/>
      <color rgb="FF000000"/>
      <name val="Calibri"/>
      <family val="2"/>
    </font>
    <font>
      <sz val="11"/>
      <color theme="0"/>
      <name val="Arial"/>
      <family val="2"/>
    </font>
    <font>
      <b/>
      <sz val="11"/>
      <color theme="0"/>
      <name val="Arial"/>
      <family val="2"/>
    </font>
    <font>
      <b/>
      <sz val="16"/>
      <color theme="1"/>
      <name val="Calibri"/>
      <family val="2"/>
      <scheme val="minor"/>
    </font>
    <font>
      <sz val="11"/>
      <color rgb="FF000000"/>
      <name val="Georgia"/>
      <family val="1"/>
    </font>
    <font>
      <b/>
      <sz val="11"/>
      <color rgb="FF000000"/>
      <name val="Georgia"/>
      <family val="1"/>
    </font>
    <font>
      <i/>
      <sz val="11"/>
      <color rgb="FF000000"/>
      <name val="Georgia"/>
      <family val="1"/>
    </font>
    <font>
      <sz val="24"/>
      <color theme="1"/>
      <name val="Calibri"/>
      <family val="2"/>
      <scheme val="minor"/>
    </font>
    <font>
      <sz val="28"/>
      <color theme="1"/>
      <name val="Calibri"/>
      <family val="2"/>
      <scheme val="minor"/>
    </font>
    <font>
      <b/>
      <sz val="10"/>
      <name val="Arial"/>
      <family val="2"/>
    </font>
    <font>
      <b/>
      <sz val="11"/>
      <name val="Arial"/>
      <family val="2"/>
    </font>
    <font>
      <sz val="11"/>
      <color theme="0"/>
      <name val="Calibri"/>
      <family val="2"/>
      <scheme val="minor"/>
    </font>
    <font>
      <sz val="16"/>
      <color theme="0"/>
      <name val="Calibri"/>
      <family val="2"/>
      <scheme val="minor"/>
    </font>
    <font>
      <sz val="11"/>
      <color rgb="FF99FFCC"/>
      <name val="Calibri"/>
      <family val="2"/>
      <scheme val="minor"/>
    </font>
    <font>
      <sz val="11"/>
      <color rgb="FF99FFCC"/>
      <name val="Calibri"/>
      <family val="2"/>
    </font>
    <font>
      <sz val="10"/>
      <name val="Arial"/>
      <family val="2"/>
    </font>
    <font>
      <b/>
      <sz val="10"/>
      <color rgb="FFFF0000"/>
      <name val="Arial"/>
      <family val="2"/>
    </font>
    <font>
      <b/>
      <sz val="10"/>
      <color indexed="10"/>
      <name val="Arial"/>
      <family val="2"/>
    </font>
    <font>
      <sz val="10"/>
      <color rgb="FFFF0000"/>
      <name val="Arial"/>
      <family val="2"/>
    </font>
    <font>
      <sz val="11"/>
      <color indexed="8"/>
      <name val="Calibri"/>
      <family val="2"/>
    </font>
    <font>
      <sz val="10"/>
      <color indexed="8"/>
      <name val="Arial"/>
      <family val="2"/>
    </font>
    <font>
      <b/>
      <sz val="10"/>
      <color indexed="8"/>
      <name val="Arial"/>
      <family val="2"/>
    </font>
    <font>
      <b/>
      <sz val="11"/>
      <color indexed="30"/>
      <name val="Calibri"/>
      <family val="2"/>
    </font>
    <font>
      <b/>
      <sz val="10"/>
      <color indexed="30"/>
      <name val="Arial"/>
      <family val="2"/>
    </font>
    <font>
      <b/>
      <sz val="9"/>
      <name val="Arial"/>
      <family val="2"/>
    </font>
    <font>
      <b/>
      <sz val="9"/>
      <color rgb="FFFF0000"/>
      <name val="Calibri"/>
      <family val="2"/>
      <scheme val="minor"/>
    </font>
    <font>
      <b/>
      <sz val="11"/>
      <name val="Calibri"/>
      <family val="2"/>
      <scheme val="minor"/>
    </font>
    <font>
      <sz val="8"/>
      <color theme="1"/>
      <name val="Calibri"/>
      <family val="2"/>
      <scheme val="minor"/>
    </font>
    <font>
      <sz val="20"/>
      <color theme="1"/>
      <name val="Calibri"/>
      <family val="2"/>
      <scheme val="minor"/>
    </font>
    <font>
      <sz val="11"/>
      <color rgb="FFCCFFFF"/>
      <name val="Calibri"/>
      <family val="2"/>
      <scheme val="minor"/>
    </font>
    <font>
      <sz val="9"/>
      <color rgb="FF333333"/>
      <name val="Arial"/>
      <family val="2"/>
    </font>
    <font>
      <b/>
      <sz val="13.5"/>
      <color rgb="FF0000FF"/>
      <name val="Comic Sans MS"/>
      <family val="4"/>
    </font>
    <font>
      <b/>
      <i/>
      <u/>
      <sz val="11"/>
      <color rgb="FF00B050"/>
      <name val="Calibri"/>
      <family val="2"/>
      <scheme val="minor"/>
    </font>
    <font>
      <sz val="10"/>
      <color rgb="FF4F595F"/>
      <name val="Courier New"/>
      <family val="3"/>
    </font>
    <font>
      <b/>
      <sz val="18"/>
      <color theme="1"/>
      <name val="Calibri"/>
      <family val="2"/>
      <scheme val="minor"/>
    </font>
    <font>
      <b/>
      <sz val="16"/>
      <color theme="0"/>
      <name val="Calibri"/>
      <family val="2"/>
      <scheme val="minor"/>
    </font>
    <font>
      <u/>
      <sz val="14"/>
      <color rgb="FFFF0000"/>
      <name val="Calibri"/>
      <family val="2"/>
      <scheme val="minor"/>
    </font>
    <font>
      <u/>
      <sz val="14"/>
      <name val="Calibri"/>
      <family val="2"/>
      <scheme val="minor"/>
    </font>
    <font>
      <sz val="9"/>
      <color indexed="81"/>
      <name val="Tahoma"/>
      <family val="2"/>
    </font>
    <font>
      <sz val="24"/>
      <color rgb="FF0000FF"/>
      <name val="Calibri"/>
      <family val="2"/>
      <scheme val="minor"/>
    </font>
    <font>
      <sz val="14"/>
      <color theme="0"/>
      <name val="Calibri"/>
      <family val="2"/>
      <scheme val="minor"/>
    </font>
    <font>
      <b/>
      <sz val="16"/>
      <color theme="0"/>
      <name val="Times New Roman"/>
      <family val="1"/>
    </font>
    <font>
      <sz val="16"/>
      <color theme="1"/>
      <name val="Times New Roman"/>
      <family val="1"/>
    </font>
    <font>
      <b/>
      <sz val="12"/>
      <color theme="1"/>
      <name val="Times New Roman"/>
      <family val="1"/>
    </font>
    <font>
      <vertAlign val="subscript"/>
      <sz val="11"/>
      <color theme="1"/>
      <name val="Times New Roman"/>
      <family val="1"/>
    </font>
    <font>
      <sz val="16"/>
      <color theme="1"/>
      <name val="Times New Roman"/>
      <family val="2"/>
    </font>
  </fonts>
  <fills count="55">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theme="7" tint="0.59999389629810485"/>
        <bgColor indexed="64"/>
      </patternFill>
    </fill>
    <fill>
      <patternFill patternType="solid">
        <fgColor rgb="FFFF0066"/>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9FF99"/>
        <bgColor indexed="64"/>
      </patternFill>
    </fill>
    <fill>
      <patternFill patternType="solid">
        <fgColor rgb="FFF96161"/>
        <bgColor indexed="64"/>
      </patternFill>
    </fill>
    <fill>
      <patternFill patternType="solid">
        <fgColor rgb="FFCCFFCC"/>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CCFFFF"/>
        <bgColor indexed="64"/>
      </patternFill>
    </fill>
    <fill>
      <patternFill patternType="solid">
        <fgColor rgb="FFFFCCCC"/>
        <bgColor indexed="64"/>
      </patternFill>
    </fill>
    <fill>
      <patternFill patternType="solid">
        <fgColor rgb="FFFFCC99"/>
        <bgColor indexed="64"/>
      </patternFill>
    </fill>
    <fill>
      <patternFill patternType="solid">
        <fgColor rgb="FFCCCC00"/>
        <bgColor indexed="64"/>
      </patternFill>
    </fill>
    <fill>
      <patternFill patternType="solid">
        <fgColor rgb="FF33CCCC"/>
        <bgColor indexed="64"/>
      </patternFill>
    </fill>
    <fill>
      <patternFill patternType="solid">
        <fgColor rgb="FFFFFF99"/>
        <bgColor indexed="64"/>
      </patternFill>
    </fill>
    <fill>
      <patternFill patternType="solid">
        <fgColor rgb="FFECD028"/>
        <bgColor indexed="64"/>
      </patternFill>
    </fill>
    <fill>
      <patternFill patternType="solid">
        <fgColor theme="5" tint="0.39997558519241921"/>
        <bgColor indexed="64"/>
      </patternFill>
    </fill>
    <fill>
      <gradientFill degree="45">
        <stop position="0">
          <color rgb="FFFFFFCC"/>
        </stop>
        <stop position="1">
          <color theme="5"/>
        </stop>
      </gradientFill>
    </fill>
    <fill>
      <patternFill patternType="solid">
        <fgColor rgb="FFFFFFF0"/>
        <bgColor indexed="64"/>
      </patternFill>
    </fill>
    <fill>
      <patternFill patternType="solid">
        <fgColor rgb="FFCCCCFF"/>
        <bgColor indexed="64"/>
      </patternFill>
    </fill>
    <fill>
      <patternFill patternType="solid">
        <fgColor indexed="41"/>
        <bgColor indexed="64"/>
      </patternFill>
    </fill>
    <fill>
      <patternFill patternType="solid">
        <fgColor theme="2"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rgb="FFCCECFF"/>
        <bgColor indexed="64"/>
      </patternFill>
    </fill>
    <fill>
      <patternFill patternType="solid">
        <fgColor theme="7" tint="0.39997558519241921"/>
        <bgColor indexed="64"/>
      </patternFill>
    </fill>
    <fill>
      <patternFill patternType="solid">
        <fgColor rgb="FFFFCC99"/>
        <bgColor indexed="34"/>
      </patternFill>
    </fill>
    <fill>
      <patternFill patternType="solid">
        <fgColor rgb="FFFFFF00"/>
        <bgColor indexed="64"/>
      </patternFill>
    </fill>
    <fill>
      <patternFill patternType="solid">
        <fgColor rgb="FF66FF99"/>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C4646"/>
        <bgColor indexed="64"/>
      </patternFill>
    </fill>
    <fill>
      <patternFill patternType="solid">
        <fgColor rgb="FF99FFCC"/>
        <bgColor indexed="64"/>
      </patternFill>
    </fill>
    <fill>
      <patternFill patternType="solid">
        <fgColor theme="7" tint="0.79998168889431442"/>
        <bgColor indexed="64"/>
      </patternFill>
    </fill>
  </fills>
  <borders count="94">
    <border>
      <left/>
      <right/>
      <top/>
      <bottom/>
      <diagonal/>
    </border>
    <border>
      <left style="slantDashDot">
        <color theme="3" tint="0.39994506668294322"/>
      </left>
      <right style="slantDashDot">
        <color theme="3" tint="0.39994506668294322"/>
      </right>
      <top style="dashDotDot">
        <color rgb="FFFF0000"/>
      </top>
      <bottom style="dashDotDot">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slantDashDot">
        <color theme="3" tint="0.39994506668294322"/>
      </left>
      <right style="slantDashDot">
        <color theme="3" tint="0.39994506668294322"/>
      </right>
      <top/>
      <bottom style="dashDotDot">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rgb="FF0000FF"/>
      </bottom>
      <diagonal/>
    </border>
    <border>
      <left/>
      <right/>
      <top style="double">
        <color rgb="FF0000FF"/>
      </top>
      <bottom style="double">
        <color rgb="FF0000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auto="1"/>
      </left>
      <right style="dashDotDot">
        <color rgb="FF0000FF"/>
      </right>
      <top style="thick">
        <color auto="1"/>
      </top>
      <bottom style="thin">
        <color rgb="FFFF0000"/>
      </bottom>
      <diagonal/>
    </border>
    <border>
      <left style="dashDotDot">
        <color rgb="FF0000FF"/>
      </left>
      <right style="dashDotDot">
        <color rgb="FF0000FF"/>
      </right>
      <top style="thick">
        <color auto="1"/>
      </top>
      <bottom style="thin">
        <color rgb="FFFF0000"/>
      </bottom>
      <diagonal/>
    </border>
    <border>
      <left style="dashDotDot">
        <color rgb="FF0000FF"/>
      </left>
      <right style="thick">
        <color auto="1"/>
      </right>
      <top style="thick">
        <color auto="1"/>
      </top>
      <bottom style="thin">
        <color rgb="FFFF0000"/>
      </bottom>
      <diagonal/>
    </border>
    <border>
      <left style="thick">
        <color auto="1"/>
      </left>
      <right style="dashDotDot">
        <color rgb="FF0000FF"/>
      </right>
      <top style="thin">
        <color rgb="FFFF0000"/>
      </top>
      <bottom style="thin">
        <color rgb="FFFF0000"/>
      </bottom>
      <diagonal/>
    </border>
    <border>
      <left style="dashDotDot">
        <color rgb="FF0000FF"/>
      </left>
      <right style="dashDotDot">
        <color rgb="FF0000FF"/>
      </right>
      <top style="thin">
        <color rgb="FFFF0000"/>
      </top>
      <bottom style="thin">
        <color rgb="FFFF0000"/>
      </bottom>
      <diagonal/>
    </border>
    <border>
      <left style="dashDotDot">
        <color rgb="FF0000FF"/>
      </left>
      <right style="thick">
        <color auto="1"/>
      </right>
      <top style="thin">
        <color rgb="FFFF0000"/>
      </top>
      <bottom style="thin">
        <color rgb="FFFF0000"/>
      </bottom>
      <diagonal/>
    </border>
    <border>
      <left style="thick">
        <color auto="1"/>
      </left>
      <right style="dashDotDot">
        <color rgb="FF0000FF"/>
      </right>
      <top style="thin">
        <color rgb="FFFF0000"/>
      </top>
      <bottom style="thick">
        <color auto="1"/>
      </bottom>
      <diagonal/>
    </border>
    <border>
      <left style="dashDotDot">
        <color rgb="FF0000FF"/>
      </left>
      <right style="dashDotDot">
        <color rgb="FF0000FF"/>
      </right>
      <top style="thin">
        <color rgb="FFFF0000"/>
      </top>
      <bottom style="thick">
        <color auto="1"/>
      </bottom>
      <diagonal/>
    </border>
    <border>
      <left style="dashDotDot">
        <color rgb="FF0000FF"/>
      </left>
      <right style="thick">
        <color auto="1"/>
      </right>
      <top style="thin">
        <color rgb="FFFF0000"/>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slantDashDot">
        <color theme="3" tint="0.39994506668294322"/>
      </right>
      <top/>
      <bottom style="dashDotDot">
        <color rgb="FFFF0000"/>
      </bottom>
      <diagonal/>
    </border>
    <border>
      <left style="slantDashDot">
        <color theme="3" tint="0.39994506668294322"/>
      </left>
      <right/>
      <top style="medium">
        <color indexed="64"/>
      </top>
      <bottom style="dashDotDot">
        <color rgb="FFFF0000"/>
      </bottom>
      <diagonal/>
    </border>
    <border>
      <left/>
      <right style="medium">
        <color indexed="64"/>
      </right>
      <top style="medium">
        <color indexed="64"/>
      </top>
      <bottom style="dashDotDot">
        <color rgb="FFFF0000"/>
      </bottom>
      <diagonal/>
    </border>
    <border>
      <left style="medium">
        <color indexed="64"/>
      </left>
      <right style="slantDashDot">
        <color theme="3" tint="0.39994506668294322"/>
      </right>
      <top style="dashDotDot">
        <color rgb="FFFF0000"/>
      </top>
      <bottom style="dashDotDot">
        <color rgb="FFFF0000"/>
      </bottom>
      <diagonal/>
    </border>
    <border>
      <left style="slantDashDot">
        <color theme="3" tint="0.39994506668294322"/>
      </left>
      <right/>
      <top style="dashDotDot">
        <color rgb="FFFF0000"/>
      </top>
      <bottom style="dashDotDot">
        <color rgb="FFFF0000"/>
      </bottom>
      <diagonal/>
    </border>
    <border>
      <left/>
      <right style="medium">
        <color indexed="64"/>
      </right>
      <top style="dashDotDot">
        <color rgb="FFFF0000"/>
      </top>
      <bottom style="dashDotDot">
        <color rgb="FFFF0000"/>
      </bottom>
      <diagonal/>
    </border>
    <border>
      <left style="medium">
        <color indexed="64"/>
      </left>
      <right style="slantDashDot">
        <color theme="3" tint="0.39994506668294322"/>
      </right>
      <top style="dashDotDot">
        <color rgb="FFFF0000"/>
      </top>
      <bottom style="medium">
        <color indexed="64"/>
      </bottom>
      <diagonal/>
    </border>
    <border>
      <left style="slantDashDot">
        <color theme="3" tint="0.39994506668294322"/>
      </left>
      <right style="slantDashDot">
        <color theme="3" tint="0.39994506668294322"/>
      </right>
      <top style="dashDotDot">
        <color rgb="FFFF0000"/>
      </top>
      <bottom style="medium">
        <color indexed="64"/>
      </bottom>
      <diagonal/>
    </border>
    <border>
      <left style="slantDashDot">
        <color theme="3" tint="0.39994506668294322"/>
      </left>
      <right/>
      <top style="dashDotDot">
        <color rgb="FFFF0000"/>
      </top>
      <bottom style="medium">
        <color indexed="64"/>
      </bottom>
      <diagonal/>
    </border>
    <border>
      <left/>
      <right style="medium">
        <color indexed="64"/>
      </right>
      <top style="dashDotDot">
        <color rgb="FFFF0000"/>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ashDotDot">
        <color rgb="FF0000FF"/>
      </left>
      <right style="dashDotDot">
        <color rgb="FF0000FF"/>
      </right>
      <top style="thin">
        <color rgb="FFFF0000"/>
      </top>
      <bottom/>
      <diagonal/>
    </border>
    <border>
      <left style="dashDotDot">
        <color rgb="FF0000FF"/>
      </left>
      <right style="thick">
        <color auto="1"/>
      </right>
      <top style="thin">
        <color rgb="FFFF0000"/>
      </top>
      <bottom/>
      <diagonal/>
    </border>
    <border>
      <left style="thick">
        <color auto="1"/>
      </left>
      <right style="dashDotDot">
        <color rgb="FF0000FF"/>
      </right>
      <top style="thin">
        <color rgb="FFFF0000"/>
      </top>
      <bottom/>
      <diagonal/>
    </border>
    <border>
      <left/>
      <right/>
      <top/>
      <bottom style="dashDot">
        <color rgb="FFFF0000"/>
      </bottom>
      <diagonal/>
    </border>
    <border>
      <left/>
      <right/>
      <top style="dashDot">
        <color rgb="FFFF0000"/>
      </top>
      <bottom style="dashDot">
        <color rgb="FFFF0000"/>
      </bottom>
      <diagonal/>
    </border>
    <border>
      <left/>
      <right style="slantDashDot">
        <color theme="3" tint="0.39994506668294322"/>
      </right>
      <top style="medium">
        <color indexed="64"/>
      </top>
      <bottom style="dashDotDot">
        <color rgb="FFFF0000"/>
      </bottom>
      <diagonal/>
    </border>
    <border>
      <left/>
      <right style="slantDashDot">
        <color theme="3" tint="0.39994506668294322"/>
      </right>
      <top style="dashDotDot">
        <color rgb="FFFF0000"/>
      </top>
      <bottom style="dashDotDot">
        <color rgb="FFFF0000"/>
      </bottom>
      <diagonal/>
    </border>
    <border>
      <left/>
      <right style="slantDashDot">
        <color theme="3" tint="0.39994506668294322"/>
      </right>
      <top style="dashDotDot">
        <color rgb="FFFF0000"/>
      </top>
      <bottom style="medium">
        <color indexed="64"/>
      </bottom>
      <diagonal/>
    </border>
    <border>
      <left style="thin">
        <color indexed="64"/>
      </left>
      <right/>
      <top/>
      <bottom style="medium">
        <color indexed="64"/>
      </bottom>
      <diagonal/>
    </border>
  </borders>
  <cellStyleXfs count="4">
    <xf numFmtId="0" fontId="0" fillId="0" borderId="0"/>
    <xf numFmtId="164" fontId="18" fillId="0" borderId="0" applyFont="0" applyFill="0" applyBorder="0" applyAlignment="0" applyProtection="0"/>
    <xf numFmtId="0" fontId="27" fillId="0" borderId="0" applyNumberFormat="0" applyFill="0" applyBorder="0" applyAlignment="0" applyProtection="0">
      <alignment vertical="top"/>
      <protection locked="0"/>
    </xf>
    <xf numFmtId="0" fontId="47" fillId="0" borderId="0"/>
  </cellStyleXfs>
  <cellXfs count="781">
    <xf numFmtId="0" fontId="0" fillId="0" borderId="0" xfId="0"/>
    <xf numFmtId="0" fontId="0" fillId="0" borderId="0" xfId="0" applyAlignment="1">
      <alignment horizontal="center"/>
    </xf>
    <xf numFmtId="0" fontId="0" fillId="0" borderId="0" xfId="0" applyAlignment="1">
      <alignment horizontal="left"/>
    </xf>
    <xf numFmtId="0" fontId="0" fillId="0" borderId="9" xfId="0" applyBorder="1"/>
    <xf numFmtId="0" fontId="0" fillId="0" borderId="0" xfId="0" applyBorder="1" applyAlignment="1">
      <alignment horizontal="center"/>
    </xf>
    <xf numFmtId="0" fontId="0" fillId="0" borderId="12" xfId="0" applyBorder="1"/>
    <xf numFmtId="0" fontId="0" fillId="0" borderId="13" xfId="0" applyBorder="1" applyAlignment="1">
      <alignment horizontal="center"/>
    </xf>
    <xf numFmtId="0" fontId="0" fillId="0" borderId="14" xfId="0" applyBorder="1"/>
    <xf numFmtId="0" fontId="0" fillId="2" borderId="0" xfId="0" applyFill="1" applyBorder="1" applyAlignment="1">
      <alignment horizontal="center" vertical="center" wrapText="1" shrinkToFit="1"/>
    </xf>
    <xf numFmtId="0" fontId="0" fillId="0" borderId="0" xfId="0" applyAlignment="1">
      <alignment horizontal="right"/>
    </xf>
    <xf numFmtId="0" fontId="0" fillId="0" borderId="11" xfId="0" applyBorder="1" applyAlignment="1">
      <alignment horizontal="center"/>
    </xf>
    <xf numFmtId="0" fontId="0" fillId="16" borderId="2" xfId="0" applyFill="1" applyBorder="1" applyAlignment="1">
      <alignment horizontal="center"/>
    </xf>
    <xf numFmtId="0" fontId="3" fillId="15" borderId="2" xfId="0" applyFont="1" applyFill="1" applyBorder="1" applyAlignment="1">
      <alignment horizontal="center"/>
    </xf>
    <xf numFmtId="0" fontId="0" fillId="17" borderId="2" xfId="0" applyFill="1" applyBorder="1" applyAlignment="1">
      <alignment horizontal="center"/>
    </xf>
    <xf numFmtId="0" fontId="0" fillId="12" borderId="2" xfId="0" applyFill="1" applyBorder="1" applyAlignment="1">
      <alignment horizontal="center"/>
    </xf>
    <xf numFmtId="0" fontId="0" fillId="5" borderId="3" xfId="0" applyFill="1" applyBorder="1"/>
    <xf numFmtId="0" fontId="0" fillId="5" borderId="4" xfId="0" applyFill="1" applyBorder="1" applyAlignment="1">
      <alignment horizontal="right"/>
    </xf>
    <xf numFmtId="166" fontId="0" fillId="12" borderId="2" xfId="0" applyNumberFormat="1" applyFill="1" applyBorder="1" applyAlignment="1">
      <alignment horizontal="center"/>
    </xf>
    <xf numFmtId="0" fontId="0" fillId="14" borderId="3" xfId="0" applyFill="1" applyBorder="1"/>
    <xf numFmtId="0" fontId="0" fillId="14" borderId="4" xfId="0" applyFill="1" applyBorder="1" applyAlignment="1">
      <alignment horizontal="right"/>
    </xf>
    <xf numFmtId="0" fontId="0" fillId="5" borderId="4" xfId="0" applyFill="1" applyBorder="1"/>
    <xf numFmtId="0" fontId="0" fillId="5" borderId="5" xfId="0" applyFill="1" applyBorder="1"/>
    <xf numFmtId="0" fontId="0" fillId="12" borderId="2" xfId="0" applyFill="1" applyBorder="1"/>
    <xf numFmtId="0" fontId="0" fillId="18" borderId="0" xfId="0" applyFill="1"/>
    <xf numFmtId="0" fontId="0" fillId="18" borderId="0" xfId="0" applyFill="1" applyAlignment="1">
      <alignment horizontal="center"/>
    </xf>
    <xf numFmtId="0" fontId="0" fillId="0" borderId="0" xfId="0" applyAlignment="1">
      <alignment horizontal="center" vertical="center"/>
    </xf>
    <xf numFmtId="0" fontId="4" fillId="18" borderId="0" xfId="0" applyFont="1" applyFill="1" applyAlignment="1">
      <alignment horizontal="center" vertical="center"/>
    </xf>
    <xf numFmtId="0" fontId="11" fillId="12" borderId="0" xfId="0" applyFont="1" applyFill="1" applyAlignment="1">
      <alignment horizontal="center" vertical="center"/>
    </xf>
    <xf numFmtId="0" fontId="11" fillId="18" borderId="0" xfId="0" applyFont="1" applyFill="1" applyAlignment="1">
      <alignment horizontal="center" vertical="center"/>
    </xf>
    <xf numFmtId="0" fontId="13" fillId="19" borderId="0" xfId="0" applyFont="1" applyFill="1" applyAlignment="1">
      <alignment horizontal="left" vertical="center"/>
    </xf>
    <xf numFmtId="167" fontId="1" fillId="18" borderId="0" xfId="0" applyNumberFormat="1" applyFont="1" applyFill="1" applyAlignment="1">
      <alignment horizontal="center" vertical="center"/>
    </xf>
    <xf numFmtId="167" fontId="13" fillId="18" borderId="0" xfId="0" applyNumberFormat="1" applyFont="1" applyFill="1" applyAlignment="1">
      <alignment horizontal="center" vertical="center"/>
    </xf>
    <xf numFmtId="0" fontId="11" fillId="18" borderId="0" xfId="0" quotePrefix="1" applyFont="1" applyFill="1" applyAlignment="1">
      <alignment horizontal="center" vertical="center"/>
    </xf>
    <xf numFmtId="0" fontId="12" fillId="18" borderId="0" xfId="0" applyFont="1" applyFill="1" applyAlignment="1">
      <alignment horizontal="center" vertical="center"/>
    </xf>
    <xf numFmtId="0" fontId="0" fillId="0" borderId="8" xfId="0" applyBorder="1"/>
    <xf numFmtId="0" fontId="16" fillId="0" borderId="19" xfId="0" applyFont="1" applyBorder="1" applyAlignment="1">
      <alignment horizontal="center"/>
    </xf>
    <xf numFmtId="0" fontId="15" fillId="3" borderId="0" xfId="0" applyFont="1" applyFill="1"/>
    <xf numFmtId="0" fontId="0" fillId="3" borderId="0" xfId="0" applyFill="1" applyAlignment="1">
      <alignment horizontal="center" vertical="center"/>
    </xf>
    <xf numFmtId="0" fontId="0" fillId="3" borderId="0" xfId="0" applyFill="1"/>
    <xf numFmtId="0" fontId="11" fillId="3" borderId="0" xfId="0" applyFont="1" applyFill="1" applyAlignment="1">
      <alignment horizontal="center" vertical="center"/>
    </xf>
    <xf numFmtId="0" fontId="11" fillId="3" borderId="0" xfId="0" applyFont="1" applyFill="1"/>
    <xf numFmtId="0" fontId="8" fillId="3" borderId="0" xfId="0" applyFont="1" applyFill="1"/>
    <xf numFmtId="0" fontId="8" fillId="3" borderId="0" xfId="0" applyFont="1" applyFill="1" applyAlignment="1">
      <alignment horizontal="center" vertical="center"/>
    </xf>
    <xf numFmtId="0" fontId="10" fillId="3" borderId="0" xfId="0" applyFont="1" applyFill="1" applyAlignment="1">
      <alignment horizontal="center"/>
    </xf>
    <xf numFmtId="0" fontId="9" fillId="3" borderId="0" xfId="0" applyFont="1" applyFill="1"/>
    <xf numFmtId="0" fontId="11" fillId="3" borderId="0" xfId="0" applyFont="1" applyFill="1" applyAlignment="1">
      <alignment horizontal="left" vertical="center"/>
    </xf>
    <xf numFmtId="0" fontId="11" fillId="5" borderId="2" xfId="0" applyFont="1" applyFill="1" applyBorder="1" applyAlignment="1">
      <alignment horizontal="center" vertical="center"/>
    </xf>
    <xf numFmtId="0" fontId="17" fillId="0" borderId="19" xfId="0" quotePrefix="1" applyFont="1" applyBorder="1" applyAlignment="1">
      <alignment horizontal="center" vertical="center"/>
    </xf>
    <xf numFmtId="0" fontId="10" fillId="3" borderId="0" xfId="0" quotePrefix="1" applyFont="1" applyFill="1" applyAlignment="1">
      <alignment horizontal="center"/>
    </xf>
    <xf numFmtId="0" fontId="0" fillId="8" borderId="5" xfId="0" applyFill="1" applyBorder="1" applyAlignment="1"/>
    <xf numFmtId="0" fontId="0" fillId="12" borderId="2" xfId="0" applyFill="1" applyBorder="1" applyAlignment="1">
      <alignment horizontal="center" vertical="center"/>
    </xf>
    <xf numFmtId="0" fontId="0" fillId="18" borderId="0" xfId="0" quotePrefix="1" applyFill="1"/>
    <xf numFmtId="164" fontId="2" fillId="12" borderId="2" xfId="1" applyFont="1" applyFill="1" applyBorder="1" applyAlignment="1">
      <alignment horizontal="left" vertical="center"/>
    </xf>
    <xf numFmtId="2" fontId="0" fillId="12" borderId="2" xfId="0" applyNumberFormat="1" applyFill="1" applyBorder="1" applyAlignment="1">
      <alignment horizontal="center"/>
    </xf>
    <xf numFmtId="0" fontId="0" fillId="12" borderId="2" xfId="0" applyFill="1" applyBorder="1" applyAlignment="1">
      <alignment horizontal="left"/>
    </xf>
    <xf numFmtId="14" fontId="0" fillId="0" borderId="3" xfId="0" applyNumberFormat="1" applyBorder="1" applyAlignment="1">
      <alignment vertical="center"/>
    </xf>
    <xf numFmtId="0" fontId="19" fillId="20" borderId="0" xfId="0" applyFont="1" applyFill="1"/>
    <xf numFmtId="0" fontId="0" fillId="20" borderId="0" xfId="0" applyFill="1"/>
    <xf numFmtId="0" fontId="19" fillId="20" borderId="0" xfId="0" applyFont="1" applyFill="1" applyAlignment="1">
      <alignment horizontal="right"/>
    </xf>
    <xf numFmtId="0" fontId="19" fillId="20" borderId="0" xfId="0" applyFont="1" applyFill="1" applyAlignment="1">
      <alignment horizontal="right" vertical="center"/>
    </xf>
    <xf numFmtId="0" fontId="19" fillId="12" borderId="2" xfId="0" applyFont="1" applyFill="1" applyBorder="1"/>
    <xf numFmtId="0" fontId="19" fillId="12" borderId="2" xfId="0" applyFont="1" applyFill="1" applyBorder="1" applyAlignment="1">
      <alignment horizontal="center"/>
    </xf>
    <xf numFmtId="0" fontId="19" fillId="20" borderId="0" xfId="0" applyFont="1" applyFill="1" applyAlignment="1">
      <alignment horizontal="center"/>
    </xf>
    <xf numFmtId="169" fontId="19" fillId="12" borderId="2" xfId="0" applyNumberFormat="1" applyFont="1" applyFill="1" applyBorder="1"/>
    <xf numFmtId="0" fontId="19" fillId="20" borderId="22" xfId="0" applyFont="1" applyFill="1" applyBorder="1"/>
    <xf numFmtId="0" fontId="19" fillId="20" borderId="21" xfId="0" applyFont="1" applyFill="1" applyBorder="1"/>
    <xf numFmtId="0" fontId="19" fillId="20" borderId="21" xfId="0" applyFont="1" applyFill="1" applyBorder="1" applyAlignment="1">
      <alignment horizontal="center" vertical="center"/>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0" fillId="0" borderId="19" xfId="0" applyBorder="1" applyProtection="1">
      <protection locked="0"/>
    </xf>
    <xf numFmtId="0" fontId="0" fillId="0" borderId="20" xfId="0" applyBorder="1" applyProtection="1">
      <protection locked="0"/>
    </xf>
    <xf numFmtId="168" fontId="2" fillId="12" borderId="2" xfId="0" applyNumberFormat="1" applyFont="1" applyFill="1" applyBorder="1" applyAlignment="1">
      <alignment horizontal="left"/>
    </xf>
    <xf numFmtId="0" fontId="5" fillId="0" borderId="0" xfId="0" applyFont="1" applyAlignment="1">
      <alignment horizontal="center"/>
    </xf>
    <xf numFmtId="0" fontId="20" fillId="18" borderId="0" xfId="0" applyFont="1" applyFill="1"/>
    <xf numFmtId="0" fontId="20" fillId="18" borderId="0" xfId="0" applyFont="1" applyFill="1" applyAlignment="1">
      <alignment horizontal="center"/>
    </xf>
    <xf numFmtId="0" fontId="21" fillId="18" borderId="0" xfId="0" applyFont="1" applyFill="1"/>
    <xf numFmtId="0" fontId="21" fillId="18" borderId="0" xfId="0" applyFont="1" applyFill="1" applyAlignment="1">
      <alignment horizontal="center"/>
    </xf>
    <xf numFmtId="0" fontId="20" fillId="0" borderId="0" xfId="0" applyFont="1"/>
    <xf numFmtId="0" fontId="20" fillId="0" borderId="0" xfId="0" applyFont="1" applyAlignment="1">
      <alignment horizontal="center"/>
    </xf>
    <xf numFmtId="0" fontId="0" fillId="0" borderId="2" xfId="0" applyFill="1" applyBorder="1" applyAlignment="1">
      <alignment horizontal="center"/>
    </xf>
    <xf numFmtId="0" fontId="0" fillId="0" borderId="25"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19" xfId="0" applyBorder="1" applyAlignment="1">
      <alignment horizontal="right" vertical="center"/>
    </xf>
    <xf numFmtId="0" fontId="0" fillId="0" borderId="20" xfId="0" applyBorder="1" applyAlignment="1">
      <alignment vertical="center"/>
    </xf>
    <xf numFmtId="0" fontId="0" fillId="0" borderId="27" xfId="0" applyBorder="1" applyAlignment="1">
      <alignment horizontal="center" wrapText="1"/>
    </xf>
    <xf numFmtId="0" fontId="0" fillId="0" borderId="27" xfId="0" applyBorder="1" applyAlignment="1">
      <alignment wrapText="1"/>
    </xf>
    <xf numFmtId="0" fontId="0" fillId="0" borderId="28" xfId="0" applyBorder="1" applyAlignment="1">
      <alignment horizontal="center" wrapText="1"/>
    </xf>
    <xf numFmtId="170" fontId="0" fillId="12" borderId="23" xfId="0" applyNumberFormat="1" applyFill="1" applyBorder="1" applyAlignment="1">
      <alignment horizontal="right" vertical="center"/>
    </xf>
    <xf numFmtId="170" fontId="0" fillId="12" borderId="23" xfId="0" applyNumberFormat="1" applyFill="1" applyBorder="1" applyAlignment="1">
      <alignment vertical="center"/>
    </xf>
    <xf numFmtId="169" fontId="0" fillId="12" borderId="23" xfId="0" applyNumberFormat="1" applyFill="1" applyBorder="1" applyAlignment="1">
      <alignment horizontal="center" vertical="center"/>
    </xf>
    <xf numFmtId="0" fontId="0" fillId="21" borderId="24" xfId="0" applyFill="1" applyBorder="1" applyAlignment="1">
      <alignment vertical="center"/>
    </xf>
    <xf numFmtId="0" fontId="0" fillId="21" borderId="27" xfId="0" applyFill="1" applyBorder="1" applyAlignment="1">
      <alignment horizontal="center" wrapText="1"/>
    </xf>
    <xf numFmtId="0" fontId="0" fillId="22" borderId="27" xfId="0" applyFill="1" applyBorder="1" applyAlignment="1">
      <alignment horizontal="center" wrapText="1"/>
    </xf>
    <xf numFmtId="2" fontId="0" fillId="22" borderId="27" xfId="0" applyNumberFormat="1" applyFill="1" applyBorder="1" applyAlignment="1">
      <alignment horizontal="center" wrapText="1"/>
    </xf>
    <xf numFmtId="0" fontId="0" fillId="22" borderId="28" xfId="0" applyFill="1" applyBorder="1" applyAlignment="1">
      <alignment wrapText="1"/>
    </xf>
    <xf numFmtId="49" fontId="0" fillId="0" borderId="0" xfId="0" applyNumberFormat="1"/>
    <xf numFmtId="0" fontId="0" fillId="0" borderId="0" xfId="0" applyFill="1" applyBorder="1"/>
    <xf numFmtId="0" fontId="4" fillId="0" borderId="0" xfId="0" applyFont="1" applyFill="1" applyBorder="1" applyAlignment="1">
      <alignment horizontal="center" wrapText="1"/>
    </xf>
    <xf numFmtId="0" fontId="0" fillId="0" borderId="0" xfId="0" applyFill="1" applyBorder="1" applyAlignment="1">
      <alignment horizontal="center" wrapText="1"/>
    </xf>
    <xf numFmtId="169" fontId="0" fillId="0" borderId="0" xfId="0" applyNumberFormat="1"/>
    <xf numFmtId="0" fontId="10" fillId="0" borderId="8" xfId="0" applyFont="1" applyBorder="1" applyAlignment="1">
      <alignment horizontal="center" vertical="center"/>
    </xf>
    <xf numFmtId="0" fontId="1" fillId="0" borderId="0" xfId="0" applyFont="1"/>
    <xf numFmtId="0" fontId="0" fillId="7" borderId="0" xfId="0" applyFill="1"/>
    <xf numFmtId="49" fontId="0" fillId="7" borderId="0" xfId="0" applyNumberFormat="1" applyFill="1"/>
    <xf numFmtId="0" fontId="11" fillId="7" borderId="0" xfId="0" applyFont="1" applyFill="1" applyAlignment="1">
      <alignment horizontal="right"/>
    </xf>
    <xf numFmtId="0" fontId="11" fillId="7" borderId="0" xfId="0" applyFont="1" applyFill="1" applyAlignment="1"/>
    <xf numFmtId="0" fontId="11" fillId="7" borderId="0" xfId="0" applyFont="1" applyFill="1" applyAlignment="1">
      <alignment horizontal="center"/>
    </xf>
    <xf numFmtId="0" fontId="4" fillId="7" borderId="0" xfId="0" applyFont="1" applyFill="1" applyBorder="1" applyAlignment="1">
      <alignment horizontal="center" wrapText="1"/>
    </xf>
    <xf numFmtId="0" fontId="23" fillId="7" borderId="0" xfId="0" applyFont="1" applyFill="1" applyAlignment="1">
      <alignment horizontal="right"/>
    </xf>
    <xf numFmtId="171" fontId="0" fillId="7" borderId="0" xfId="0" applyNumberFormat="1" applyFill="1"/>
    <xf numFmtId="0" fontId="22" fillId="7" borderId="0" xfId="0" applyFont="1" applyFill="1"/>
    <xf numFmtId="0" fontId="3" fillId="23" borderId="23" xfId="0" applyFont="1" applyFill="1" applyBorder="1" applyAlignment="1">
      <alignment vertical="center"/>
    </xf>
    <xf numFmtId="0" fontId="0" fillId="0" borderId="0" xfId="0" applyAlignment="1">
      <alignment horizontal="left" vertical="center"/>
    </xf>
    <xf numFmtId="0" fontId="0" fillId="3" borderId="0" xfId="0" applyFill="1" applyAlignment="1">
      <alignment vertical="center"/>
    </xf>
    <xf numFmtId="169" fontId="0" fillId="20" borderId="2" xfId="0" applyNumberForma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wrapText="1"/>
    </xf>
    <xf numFmtId="0" fontId="28" fillId="0" borderId="0" xfId="0" applyFont="1" applyFill="1" applyBorder="1" applyAlignment="1">
      <alignment horizontal="center" vertical="center"/>
    </xf>
    <xf numFmtId="0" fontId="4" fillId="12" borderId="2" xfId="0" applyFont="1" applyFill="1" applyBorder="1" applyAlignment="1">
      <alignment horizontal="center" vertical="center"/>
    </xf>
    <xf numFmtId="0" fontId="4" fillId="26" borderId="2" xfId="0" applyFont="1" applyFill="1" applyBorder="1" applyAlignment="1">
      <alignment horizontal="center" vertical="center"/>
    </xf>
    <xf numFmtId="0" fontId="4" fillId="0" borderId="2" xfId="0" applyFont="1" applyBorder="1" applyAlignment="1">
      <alignment horizontal="center" vertical="center"/>
    </xf>
    <xf numFmtId="0" fontId="4" fillId="25" borderId="2" xfId="0" applyFont="1" applyFill="1" applyBorder="1" applyAlignment="1">
      <alignment horizontal="center" vertical="center"/>
    </xf>
    <xf numFmtId="0" fontId="4" fillId="20" borderId="2" xfId="0" applyFont="1" applyFill="1" applyBorder="1" applyAlignment="1">
      <alignment horizontal="center" vertical="center"/>
    </xf>
    <xf numFmtId="0" fontId="4" fillId="28" borderId="2" xfId="0" applyFont="1" applyFill="1" applyBorder="1" applyAlignment="1">
      <alignment horizontal="center" vertical="center"/>
    </xf>
    <xf numFmtId="0" fontId="0" fillId="0" borderId="0" xfId="0"/>
    <xf numFmtId="0" fontId="0" fillId="29" borderId="0" xfId="0" applyFill="1"/>
    <xf numFmtId="0" fontId="0" fillId="29" borderId="0" xfId="0" applyFill="1" applyAlignment="1"/>
    <xf numFmtId="0" fontId="4" fillId="29" borderId="0" xfId="0" applyFont="1" applyFill="1" applyAlignment="1">
      <alignment horizontal="center" vertical="center" wrapText="1"/>
    </xf>
    <xf numFmtId="0" fontId="0" fillId="29" borderId="0" xfId="0" applyFill="1" applyAlignment="1">
      <alignment horizontal="center" wrapText="1"/>
    </xf>
    <xf numFmtId="1" fontId="0" fillId="0" borderId="0" xfId="0" applyNumberFormat="1" applyAlignment="1">
      <alignment horizontal="center"/>
    </xf>
    <xf numFmtId="0" fontId="4" fillId="0" borderId="0" xfId="0" applyFont="1" applyAlignment="1">
      <alignment horizontal="center"/>
    </xf>
    <xf numFmtId="0" fontId="0" fillId="0" borderId="0" xfId="0"/>
    <xf numFmtId="0" fontId="0" fillId="0" borderId="0" xfId="0" applyAlignment="1">
      <alignment horizontal="center" vertical="center"/>
    </xf>
    <xf numFmtId="170" fontId="0" fillId="12" borderId="23" xfId="0" applyNumberFormat="1" applyFill="1" applyBorder="1" applyAlignment="1" applyProtection="1">
      <alignment horizontal="right" vertical="center"/>
      <protection locked="0"/>
    </xf>
    <xf numFmtId="0" fontId="0" fillId="0" borderId="0" xfId="0"/>
    <xf numFmtId="0" fontId="33" fillId="0" borderId="0" xfId="0" applyFont="1" applyAlignment="1">
      <alignment horizontal="left" indent="2"/>
    </xf>
    <xf numFmtId="0" fontId="34" fillId="0" borderId="0" xfId="0" applyFont="1" applyAlignment="1">
      <alignment horizontal="left" indent="3"/>
    </xf>
    <xf numFmtId="0" fontId="0" fillId="0" borderId="0" xfId="0" applyFill="1" applyBorder="1" applyAlignment="1">
      <alignment horizontal="center" vertical="center"/>
    </xf>
    <xf numFmtId="0" fontId="0" fillId="3" borderId="0" xfId="0" applyFill="1" applyAlignment="1">
      <alignment horizontal="center"/>
    </xf>
    <xf numFmtId="0" fontId="19" fillId="3" borderId="0" xfId="0" applyFont="1" applyFill="1" applyAlignment="1">
      <alignment horizontal="right" vertical="center"/>
    </xf>
    <xf numFmtId="0" fontId="19" fillId="3" borderId="0" xfId="0" applyFont="1" applyFill="1" applyAlignment="1">
      <alignment vertical="center"/>
    </xf>
    <xf numFmtId="0" fontId="19" fillId="3" borderId="0" xfId="0" applyFont="1" applyFill="1"/>
    <xf numFmtId="0" fontId="24" fillId="0" borderId="23" xfId="0" applyFont="1" applyBorder="1" applyAlignment="1">
      <alignment vertical="center" wrapText="1"/>
    </xf>
    <xf numFmtId="0" fontId="0" fillId="0" borderId="23" xfId="0" applyBorder="1" applyAlignment="1">
      <alignment horizontal="center" vertical="center"/>
    </xf>
    <xf numFmtId="0" fontId="0" fillId="0" borderId="23" xfId="0" applyBorder="1"/>
    <xf numFmtId="0" fontId="0" fillId="0" borderId="23" xfId="0" applyBorder="1" applyAlignment="1">
      <alignment horizontal="center"/>
    </xf>
    <xf numFmtId="0" fontId="0" fillId="30" borderId="23" xfId="0" applyFill="1" applyBorder="1" applyAlignment="1">
      <alignment horizontal="center"/>
    </xf>
    <xf numFmtId="0" fontId="24" fillId="31" borderId="23" xfId="0" applyFont="1" applyFill="1" applyBorder="1" applyAlignment="1">
      <alignment horizontal="center"/>
    </xf>
    <xf numFmtId="0" fontId="24" fillId="0" borderId="30" xfId="0" applyFont="1" applyBorder="1" applyAlignment="1">
      <alignment vertical="top" wrapText="1"/>
    </xf>
    <xf numFmtId="0" fontId="24" fillId="0" borderId="27" xfId="0" applyFont="1" applyBorder="1" applyAlignment="1">
      <alignment horizontal="center" vertical="center" wrapText="1"/>
    </xf>
    <xf numFmtId="0" fontId="24" fillId="0" borderId="27" xfId="0" applyFont="1" applyBorder="1" applyAlignment="1">
      <alignment vertical="top" wrapText="1"/>
    </xf>
    <xf numFmtId="0" fontId="24" fillId="0" borderId="27" xfId="0" applyFont="1" applyBorder="1" applyAlignment="1">
      <alignment horizontal="center" vertical="top" wrapText="1"/>
    </xf>
    <xf numFmtId="0" fontId="0" fillId="0" borderId="0" xfId="0"/>
    <xf numFmtId="0" fontId="0" fillId="0" borderId="0" xfId="0" applyAlignment="1">
      <alignment horizontal="center"/>
    </xf>
    <xf numFmtId="0" fontId="0" fillId="0" borderId="32"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6" fillId="0" borderId="23" xfId="0" applyFont="1" applyBorder="1" applyAlignment="1">
      <alignment vertical="center"/>
    </xf>
    <xf numFmtId="1" fontId="6" fillId="12" borderId="23" xfId="0" applyNumberFormat="1" applyFont="1" applyFill="1" applyBorder="1" applyAlignment="1">
      <alignment horizontal="center" vertical="center"/>
    </xf>
    <xf numFmtId="0" fontId="24" fillId="0" borderId="39" xfId="0" applyFont="1" applyBorder="1"/>
    <xf numFmtId="0" fontId="0" fillId="0" borderId="40" xfId="0" applyBorder="1" applyAlignment="1">
      <alignment horizontal="right" vertical="center"/>
    </xf>
    <xf numFmtId="0" fontId="0" fillId="0" borderId="40" xfId="0" applyBorder="1" applyAlignment="1">
      <alignment horizontal="left" vertical="center"/>
    </xf>
    <xf numFmtId="0" fontId="0" fillId="0" borderId="40" xfId="0" applyBorder="1" applyAlignment="1">
      <alignment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32" borderId="42" xfId="0" applyFill="1" applyBorder="1" applyAlignment="1">
      <alignment vertical="center"/>
    </xf>
    <xf numFmtId="0" fontId="0" fillId="0" borderId="43" xfId="0" applyBorder="1" applyAlignment="1">
      <alignment horizontal="right" vertical="center"/>
    </xf>
    <xf numFmtId="0" fontId="0" fillId="0" borderId="43" xfId="0" applyBorder="1" applyAlignment="1">
      <alignment horizontal="left" vertical="center"/>
    </xf>
    <xf numFmtId="0" fontId="0" fillId="0" borderId="43" xfId="0" applyBorder="1" applyAlignment="1">
      <alignment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0" fontId="25" fillId="0" borderId="42" xfId="0" applyFont="1" applyBorder="1"/>
    <xf numFmtId="0" fontId="25" fillId="12" borderId="42" xfId="0" applyFont="1" applyFill="1" applyBorder="1"/>
    <xf numFmtId="0" fontId="25" fillId="12" borderId="42" xfId="0" applyFont="1" applyFill="1" applyBorder="1" applyAlignment="1">
      <alignment horizontal="left"/>
    </xf>
    <xf numFmtId="0" fontId="0" fillId="32" borderId="42" xfId="0" applyFont="1" applyFill="1" applyBorder="1" applyAlignment="1">
      <alignment vertical="center"/>
    </xf>
    <xf numFmtId="0" fontId="26" fillId="12" borderId="42" xfId="0" applyFont="1" applyFill="1" applyBorder="1"/>
    <xf numFmtId="49" fontId="0" fillId="0" borderId="44" xfId="0" applyNumberFormat="1" applyBorder="1" applyAlignment="1">
      <alignment horizontal="center"/>
    </xf>
    <xf numFmtId="0" fontId="26" fillId="33" borderId="42" xfId="0" applyFont="1" applyFill="1" applyBorder="1"/>
    <xf numFmtId="0" fontId="0" fillId="0" borderId="43" xfId="0" applyBorder="1" applyAlignment="1">
      <alignment horizontal="right"/>
    </xf>
    <xf numFmtId="0" fontId="0" fillId="0" borderId="43" xfId="0" applyBorder="1" applyAlignment="1">
      <alignment horizontal="left"/>
    </xf>
    <xf numFmtId="0" fontId="0" fillId="0" borderId="43" xfId="0" applyBorder="1"/>
    <xf numFmtId="49" fontId="0" fillId="0" borderId="43" xfId="0" applyNumberFormat="1" applyBorder="1" applyAlignment="1">
      <alignment horizontal="center"/>
    </xf>
    <xf numFmtId="0" fontId="26" fillId="0" borderId="42" xfId="0" applyFont="1" applyBorder="1"/>
    <xf numFmtId="0" fontId="0" fillId="0" borderId="43" xfId="0" quotePrefix="1" applyBorder="1" applyAlignment="1">
      <alignment horizontal="right"/>
    </xf>
    <xf numFmtId="0" fontId="0" fillId="0" borderId="43" xfId="0" quotePrefix="1" applyBorder="1" applyAlignment="1">
      <alignment horizontal="center"/>
    </xf>
    <xf numFmtId="0" fontId="0" fillId="0" borderId="42" xfId="0" applyBorder="1"/>
    <xf numFmtId="0" fontId="0" fillId="12" borderId="42" xfId="0" applyFill="1" applyBorder="1"/>
    <xf numFmtId="0" fontId="0" fillId="32" borderId="42" xfId="0" applyFill="1" applyBorder="1"/>
    <xf numFmtId="0" fontId="0" fillId="0" borderId="43" xfId="0" applyBorder="1" applyAlignment="1">
      <alignment horizontal="center"/>
    </xf>
    <xf numFmtId="0" fontId="0" fillId="0" borderId="44" xfId="0" applyBorder="1" applyAlignment="1">
      <alignment horizontal="center"/>
    </xf>
    <xf numFmtId="0" fontId="0" fillId="0" borderId="46" xfId="0" applyBorder="1" applyAlignment="1">
      <alignment horizontal="right"/>
    </xf>
    <xf numFmtId="0" fontId="0" fillId="0" borderId="46" xfId="0" applyBorder="1" applyAlignment="1">
      <alignment horizontal="left"/>
    </xf>
    <xf numFmtId="0" fontId="0" fillId="0" borderId="46" xfId="0" applyBorder="1"/>
    <xf numFmtId="0" fontId="0" fillId="0" borderId="46" xfId="0" applyBorder="1" applyAlignment="1">
      <alignment horizontal="center"/>
    </xf>
    <xf numFmtId="0" fontId="0" fillId="0" borderId="47" xfId="0" applyBorder="1" applyAlignment="1">
      <alignment horizontal="center"/>
    </xf>
    <xf numFmtId="0" fontId="0" fillId="34" borderId="23" xfId="0" applyFill="1" applyBorder="1" applyAlignment="1">
      <alignment horizontal="center"/>
    </xf>
    <xf numFmtId="166" fontId="6" fillId="0" borderId="48" xfId="0" applyNumberFormat="1" applyFont="1" applyFill="1" applyBorder="1" applyAlignment="1">
      <alignment horizontal="center"/>
    </xf>
    <xf numFmtId="166" fontId="6" fillId="0" borderId="49" xfId="0" applyNumberFormat="1" applyFont="1" applyFill="1" applyBorder="1" applyAlignment="1">
      <alignment horizontal="center"/>
    </xf>
    <xf numFmtId="0" fontId="0" fillId="35" borderId="0" xfId="0" applyFill="1"/>
    <xf numFmtId="0" fontId="35" fillId="35" borderId="0" xfId="0" applyFont="1" applyFill="1"/>
    <xf numFmtId="0" fontId="36" fillId="35" borderId="0" xfId="0" applyFont="1" applyFill="1" applyAlignment="1">
      <alignment horizontal="right"/>
    </xf>
    <xf numFmtId="0" fontId="0" fillId="0" borderId="5" xfId="0"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0" fillId="0" borderId="0" xfId="0"/>
    <xf numFmtId="0" fontId="0" fillId="0" borderId="0" xfId="0" applyAlignment="1" applyProtection="1">
      <alignment horizontal="center" vertical="center"/>
      <protection locked="0"/>
    </xf>
    <xf numFmtId="0" fontId="0" fillId="38" borderId="0" xfId="0" applyFill="1"/>
    <xf numFmtId="0" fontId="0" fillId="38" borderId="13" xfId="0" applyFill="1" applyBorder="1" applyAlignment="1">
      <alignment horizontal="right"/>
    </xf>
    <xf numFmtId="0" fontId="0" fillId="0" borderId="11"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wrapText="1" shrinkToFit="1"/>
    </xf>
    <xf numFmtId="0" fontId="0" fillId="0" borderId="0" xfId="0" applyFill="1" applyBorder="1" applyAlignment="1">
      <alignment vertical="center"/>
    </xf>
    <xf numFmtId="0" fontId="0" fillId="0" borderId="0" xfId="0" applyFill="1" applyBorder="1" applyAlignment="1">
      <alignment horizontal="right"/>
    </xf>
    <xf numFmtId="0" fontId="0" fillId="0" borderId="0" xfId="0" quotePrefix="1" applyFill="1" applyBorder="1" applyAlignment="1">
      <alignment horizontal="center"/>
    </xf>
    <xf numFmtId="0" fontId="0" fillId="0" borderId="4" xfId="0" applyBorder="1" applyAlignment="1"/>
    <xf numFmtId="0" fontId="0" fillId="0" borderId="10" xfId="0" applyBorder="1" applyAlignment="1">
      <alignment horizontal="left"/>
    </xf>
    <xf numFmtId="0" fontId="0" fillId="0" borderId="10" xfId="0" applyBorder="1" applyAlignment="1"/>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Border="1" applyAlignment="1">
      <alignment horizontal="center"/>
    </xf>
    <xf numFmtId="0" fontId="0" fillId="0" borderId="13" xfId="0" applyBorder="1" applyAlignment="1">
      <alignment horizontal="left"/>
    </xf>
    <xf numFmtId="0" fontId="0" fillId="0" borderId="11" xfId="0" applyBorder="1" applyAlignment="1"/>
    <xf numFmtId="0" fontId="0" fillId="0" borderId="7" xfId="0" applyFill="1" applyBorder="1" applyAlignment="1">
      <alignment horizontal="center" vertical="center" wrapText="1" shrinkToFit="1"/>
    </xf>
    <xf numFmtId="0" fontId="2" fillId="39" borderId="0" xfId="0" applyFont="1" applyFill="1" applyBorder="1" applyAlignment="1">
      <alignment horizontal="center" vertical="center" wrapText="1" shrinkToFit="1"/>
    </xf>
    <xf numFmtId="0" fontId="0" fillId="2" borderId="13" xfId="0" applyFill="1" applyBorder="1" applyAlignment="1">
      <alignment horizontal="center" vertical="center"/>
    </xf>
    <xf numFmtId="0" fontId="0" fillId="0" borderId="12" xfId="0" applyFill="1" applyBorder="1" applyAlignment="1">
      <alignment horizontal="center" vertical="center" wrapText="1" shrinkToFit="1"/>
    </xf>
    <xf numFmtId="0" fontId="0" fillId="12" borderId="12" xfId="0" applyFill="1" applyBorder="1" applyAlignment="1">
      <alignment horizontal="center" vertical="center" wrapText="1" shrinkToFit="1"/>
    </xf>
    <xf numFmtId="0" fontId="0" fillId="0" borderId="5" xfId="0" applyBorder="1" applyAlignment="1">
      <alignment horizontal="center" vertical="center"/>
    </xf>
    <xf numFmtId="0" fontId="0" fillId="0" borderId="0" xfId="0"/>
    <xf numFmtId="166" fontId="0" fillId="38" borderId="0" xfId="0" applyNumberFormat="1" applyFill="1"/>
    <xf numFmtId="171" fontId="4" fillId="12" borderId="2" xfId="0" applyNumberFormat="1" applyFont="1" applyFill="1" applyBorder="1" applyAlignment="1" applyProtection="1">
      <alignment horizontal="center" wrapText="1"/>
    </xf>
    <xf numFmtId="0" fontId="0" fillId="0" borderId="0" xfId="0"/>
    <xf numFmtId="169" fontId="0" fillId="12" borderId="2" xfId="0" applyNumberFormat="1" applyFill="1" applyBorder="1"/>
    <xf numFmtId="0" fontId="40" fillId="40" borderId="0" xfId="0" quotePrefix="1" applyFont="1" applyFill="1" applyAlignment="1">
      <alignment horizontal="center" vertical="center"/>
    </xf>
    <xf numFmtId="0" fontId="39" fillId="18" borderId="0" xfId="0" applyFont="1" applyFill="1"/>
    <xf numFmtId="0" fontId="41" fillId="18" borderId="0" xfId="0" applyFont="1" applyFill="1"/>
    <xf numFmtId="0" fontId="42" fillId="18" borderId="0" xfId="0" applyFont="1" applyFill="1"/>
    <xf numFmtId="0" fontId="42" fillId="18" borderId="0" xfId="0" quotePrefix="1" applyFont="1" applyFill="1"/>
    <xf numFmtId="0" fontId="8" fillId="0" borderId="66"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6" fillId="0" borderId="67" xfId="0" applyFont="1" applyBorder="1" applyAlignment="1">
      <alignment horizontal="center"/>
    </xf>
    <xf numFmtId="0" fontId="17" fillId="0" borderId="67" xfId="0" quotePrefix="1" applyFont="1" applyBorder="1" applyAlignment="1">
      <alignment horizontal="center" vertical="center"/>
    </xf>
    <xf numFmtId="0" fontId="0" fillId="0" borderId="67" xfId="0" applyBorder="1" applyProtection="1">
      <protection locked="0"/>
    </xf>
    <xf numFmtId="0" fontId="0" fillId="0" borderId="68" xfId="0" applyBorder="1" applyProtection="1">
      <protection locked="0"/>
    </xf>
    <xf numFmtId="0" fontId="0" fillId="0" borderId="3" xfId="0" applyBorder="1" applyAlignment="1">
      <alignment vertical="center"/>
    </xf>
    <xf numFmtId="0" fontId="0" fillId="0" borderId="5" xfId="0" applyBorder="1" applyAlignment="1">
      <alignment vertical="center"/>
    </xf>
    <xf numFmtId="0" fontId="0" fillId="0" borderId="5" xfId="0" applyBorder="1"/>
    <xf numFmtId="0" fontId="0" fillId="0" borderId="4" xfId="0" applyBorder="1"/>
    <xf numFmtId="170" fontId="0" fillId="41" borderId="23" xfId="0" applyNumberFormat="1" applyFill="1" applyBorder="1" applyAlignment="1" applyProtection="1">
      <alignment horizontal="right" vertical="center"/>
      <protection locked="0"/>
    </xf>
    <xf numFmtId="0" fontId="0" fillId="41" borderId="23" xfId="0" applyFill="1" applyBorder="1" applyAlignment="1" applyProtection="1">
      <alignment horizontal="right" vertical="center"/>
      <protection locked="0"/>
    </xf>
    <xf numFmtId="170" fontId="0" fillId="41" borderId="24" xfId="0" applyNumberFormat="1" applyFill="1" applyBorder="1" applyAlignment="1" applyProtection="1">
      <alignment vertical="center"/>
      <protection locked="0"/>
    </xf>
    <xf numFmtId="0" fontId="0" fillId="41" borderId="38" xfId="0" applyFill="1" applyBorder="1" applyAlignment="1" applyProtection="1">
      <alignment horizontal="center" vertical="center"/>
      <protection locked="0"/>
    </xf>
    <xf numFmtId="14" fontId="0" fillId="41" borderId="33" xfId="0" applyNumberFormat="1" applyFill="1" applyBorder="1" applyAlignment="1" applyProtection="1">
      <alignment horizontal="center" vertical="center"/>
      <protection locked="0"/>
    </xf>
    <xf numFmtId="0" fontId="0" fillId="4" borderId="23" xfId="0" applyFill="1" applyBorder="1" applyAlignment="1" applyProtection="1">
      <alignment horizontal="right" vertical="center"/>
    </xf>
    <xf numFmtId="166" fontId="0" fillId="12" borderId="2" xfId="0" applyNumberFormat="1" applyFill="1" applyBorder="1" applyAlignment="1">
      <alignment horizontal="center" vertical="center"/>
    </xf>
    <xf numFmtId="166" fontId="0" fillId="20" borderId="2" xfId="0" applyNumberFormat="1" applyFill="1" applyBorder="1" applyAlignment="1">
      <alignment horizontal="center" vertical="center"/>
    </xf>
    <xf numFmtId="0" fontId="0" fillId="38" borderId="7" xfId="0" applyFill="1" applyBorder="1"/>
    <xf numFmtId="0" fontId="0" fillId="38" borderId="8" xfId="0" applyFill="1" applyBorder="1"/>
    <xf numFmtId="0" fontId="0" fillId="38" borderId="9" xfId="0" applyFill="1" applyBorder="1"/>
    <xf numFmtId="0" fontId="0" fillId="38" borderId="10" xfId="0" applyFill="1" applyBorder="1"/>
    <xf numFmtId="0" fontId="0" fillId="38" borderId="0" xfId="0" applyFill="1" applyBorder="1"/>
    <xf numFmtId="0" fontId="37" fillId="38" borderId="11" xfId="0" applyFont="1" applyFill="1" applyBorder="1"/>
    <xf numFmtId="0" fontId="0" fillId="38" borderId="0" xfId="0" applyFill="1" applyBorder="1" applyAlignment="1">
      <alignment horizontal="right"/>
    </xf>
    <xf numFmtId="0" fontId="0" fillId="38" borderId="11" xfId="0" applyFill="1" applyBorder="1"/>
    <xf numFmtId="0" fontId="0" fillId="38" borderId="12" xfId="0" applyFill="1" applyBorder="1"/>
    <xf numFmtId="0" fontId="0" fillId="38" borderId="13" xfId="0" applyFill="1" applyBorder="1"/>
    <xf numFmtId="0" fontId="0" fillId="38" borderId="14" xfId="0" applyFill="1" applyBorder="1"/>
    <xf numFmtId="0" fontId="0" fillId="35" borderId="3" xfId="0" applyFill="1" applyBorder="1"/>
    <xf numFmtId="0" fontId="0" fillId="35" borderId="5" xfId="0" applyFill="1" applyBorder="1"/>
    <xf numFmtId="0" fontId="0" fillId="35" borderId="4" xfId="0" applyFill="1" applyBorder="1"/>
    <xf numFmtId="0" fontId="0" fillId="0" borderId="0" xfId="0"/>
    <xf numFmtId="0" fontId="0" fillId="42" borderId="0" xfId="0" applyFill="1" applyAlignment="1" applyProtection="1">
      <alignment vertical="top"/>
    </xf>
    <xf numFmtId="0" fontId="37" fillId="43" borderId="69" xfId="0" applyFont="1" applyFill="1" applyBorder="1" applyAlignment="1" applyProtection="1">
      <alignment vertical="top"/>
    </xf>
    <xf numFmtId="0" fontId="43" fillId="43" borderId="70" xfId="0" applyFont="1" applyFill="1" applyBorder="1" applyAlignment="1" applyProtection="1">
      <alignment vertical="top"/>
    </xf>
    <xf numFmtId="0" fontId="37" fillId="43" borderId="70" xfId="0" applyFont="1" applyFill="1" applyBorder="1" applyAlignment="1" applyProtection="1">
      <alignment vertical="top"/>
    </xf>
    <xf numFmtId="0" fontId="0" fillId="43" borderId="70" xfId="0" applyFill="1" applyBorder="1" applyAlignment="1" applyProtection="1">
      <alignment vertical="top"/>
    </xf>
    <xf numFmtId="0" fontId="37" fillId="43" borderId="71" xfId="0" applyFont="1" applyFill="1" applyBorder="1" applyAlignment="1" applyProtection="1">
      <alignment horizontal="right" vertical="top"/>
    </xf>
    <xf numFmtId="0" fontId="44" fillId="43" borderId="72" xfId="0" applyFont="1" applyFill="1" applyBorder="1" applyAlignment="1" applyProtection="1">
      <alignment vertical="top"/>
    </xf>
    <xf numFmtId="0" fontId="43" fillId="43" borderId="0" xfId="0" applyFont="1" applyFill="1" applyBorder="1" applyAlignment="1" applyProtection="1">
      <alignment vertical="top"/>
    </xf>
    <xf numFmtId="0" fontId="37" fillId="43" borderId="0" xfId="0" applyFont="1" applyFill="1" applyBorder="1" applyAlignment="1" applyProtection="1">
      <alignment vertical="top"/>
    </xf>
    <xf numFmtId="0" fontId="0" fillId="43" borderId="0" xfId="0" applyFill="1" applyBorder="1" applyAlignment="1" applyProtection="1">
      <alignment vertical="top"/>
    </xf>
    <xf numFmtId="0" fontId="37" fillId="43" borderId="73" xfId="0" applyFont="1" applyFill="1" applyBorder="1" applyAlignment="1" applyProtection="1">
      <alignment horizontal="right" vertical="top"/>
    </xf>
    <xf numFmtId="0" fontId="0" fillId="43" borderId="74" xfId="0" applyFill="1" applyBorder="1" applyAlignment="1" applyProtection="1">
      <alignment vertical="top"/>
    </xf>
    <xf numFmtId="0" fontId="43" fillId="43" borderId="75" xfId="0" applyFont="1" applyFill="1" applyBorder="1" applyAlignment="1" applyProtection="1">
      <alignment vertical="top"/>
    </xf>
    <xf numFmtId="0" fontId="37" fillId="43" borderId="75" xfId="0" applyFont="1" applyFill="1" applyBorder="1" applyAlignment="1" applyProtection="1">
      <alignment vertical="top"/>
    </xf>
    <xf numFmtId="0" fontId="0" fillId="43" borderId="75" xfId="0" applyFill="1" applyBorder="1" applyAlignment="1" applyProtection="1">
      <alignment vertical="top"/>
    </xf>
    <xf numFmtId="0" fontId="37" fillId="43" borderId="38" xfId="0" applyFont="1" applyFill="1" applyBorder="1" applyAlignment="1" applyProtection="1">
      <alignment horizontal="right" vertical="top"/>
    </xf>
    <xf numFmtId="0" fontId="0" fillId="42" borderId="0" xfId="0" applyFill="1" applyBorder="1" applyAlignment="1" applyProtection="1">
      <alignment vertical="top"/>
    </xf>
    <xf numFmtId="0" fontId="0" fillId="42" borderId="0" xfId="0" applyFill="1" applyBorder="1" applyAlignment="1" applyProtection="1">
      <alignment horizontal="center" vertical="top"/>
    </xf>
    <xf numFmtId="0" fontId="0" fillId="42" borderId="69" xfId="0" applyFill="1" applyBorder="1" applyAlignment="1" applyProtection="1">
      <alignment vertical="top"/>
    </xf>
    <xf numFmtId="0" fontId="0" fillId="42" borderId="70" xfId="0" applyFill="1" applyBorder="1" applyAlignment="1" applyProtection="1">
      <alignment vertical="top"/>
    </xf>
    <xf numFmtId="0" fontId="0" fillId="42" borderId="70" xfId="0" applyFill="1" applyBorder="1" applyAlignment="1" applyProtection="1">
      <alignment horizontal="center" vertical="top"/>
    </xf>
    <xf numFmtId="0" fontId="0" fillId="42" borderId="71" xfId="0" applyFill="1" applyBorder="1" applyAlignment="1" applyProtection="1">
      <alignment vertical="top"/>
    </xf>
    <xf numFmtId="0" fontId="44" fillId="42" borderId="72" xfId="0" applyFont="1" applyFill="1" applyBorder="1" applyAlignment="1" applyProtection="1">
      <alignment vertical="top"/>
    </xf>
    <xf numFmtId="0" fontId="43" fillId="42" borderId="0" xfId="0" applyFont="1" applyFill="1" applyBorder="1" applyAlignment="1" applyProtection="1">
      <alignment horizontal="right" vertical="top"/>
    </xf>
    <xf numFmtId="0" fontId="43" fillId="42" borderId="0" xfId="0" applyFont="1" applyFill="1" applyBorder="1" applyAlignment="1" applyProtection="1">
      <alignment vertical="top"/>
    </xf>
    <xf numFmtId="0" fontId="0" fillId="42" borderId="73" xfId="0" applyFill="1" applyBorder="1" applyAlignment="1" applyProtection="1">
      <alignment vertical="top"/>
    </xf>
    <xf numFmtId="0" fontId="0" fillId="42" borderId="72" xfId="0" applyFill="1" applyBorder="1" applyAlignment="1" applyProtection="1">
      <alignment vertical="top"/>
    </xf>
    <xf numFmtId="172" fontId="45" fillId="42" borderId="0" xfId="0" applyNumberFormat="1" applyFont="1" applyFill="1" applyBorder="1" applyAlignment="1" applyProtection="1">
      <alignment horizontal="right" vertical="top"/>
    </xf>
    <xf numFmtId="0" fontId="46" fillId="42" borderId="72" xfId="0" applyFont="1" applyFill="1" applyBorder="1" applyAlignment="1" applyProtection="1">
      <alignment vertical="top"/>
    </xf>
    <xf numFmtId="0" fontId="0" fillId="42" borderId="0" xfId="0" applyFill="1" applyBorder="1" applyAlignment="1" applyProtection="1">
      <alignment horizontal="right" vertical="top"/>
    </xf>
    <xf numFmtId="0" fontId="43" fillId="42" borderId="72" xfId="0" applyFont="1" applyFill="1" applyBorder="1" applyAlignment="1" applyProtection="1">
      <alignment vertical="top"/>
    </xf>
    <xf numFmtId="49" fontId="0" fillId="42" borderId="73" xfId="0" applyNumberFormat="1" applyFill="1" applyBorder="1" applyAlignment="1" applyProtection="1">
      <alignment vertical="top" wrapText="1"/>
    </xf>
    <xf numFmtId="0" fontId="46" fillId="42" borderId="0" xfId="0" applyFont="1" applyFill="1" applyBorder="1" applyAlignment="1" applyProtection="1">
      <alignment horizontal="right" vertical="top" wrapText="1" indent="1"/>
    </xf>
    <xf numFmtId="172" fontId="0" fillId="42" borderId="0" xfId="0" applyNumberFormat="1" applyFill="1" applyBorder="1" applyAlignment="1" applyProtection="1">
      <alignment horizontal="right" vertical="top"/>
    </xf>
    <xf numFmtId="49" fontId="43" fillId="42" borderId="0" xfId="0" applyNumberFormat="1" applyFont="1" applyFill="1" applyBorder="1" applyAlignment="1" applyProtection="1">
      <alignment horizontal="left" vertical="top"/>
    </xf>
    <xf numFmtId="49" fontId="43" fillId="42" borderId="73" xfId="0" applyNumberFormat="1" applyFont="1" applyFill="1" applyBorder="1" applyAlignment="1" applyProtection="1">
      <alignment horizontal="left" vertical="top" wrapText="1"/>
    </xf>
    <xf numFmtId="0" fontId="43" fillId="42" borderId="0" xfId="0" applyFont="1" applyFill="1" applyBorder="1" applyAlignment="1" applyProtection="1">
      <alignment horizontal="left" vertical="top"/>
    </xf>
    <xf numFmtId="0" fontId="0" fillId="42" borderId="74" xfId="0" applyFill="1" applyBorder="1" applyAlignment="1" applyProtection="1">
      <alignment vertical="top"/>
    </xf>
    <xf numFmtId="49" fontId="43" fillId="42" borderId="75" xfId="0" applyNumberFormat="1" applyFont="1" applyFill="1" applyBorder="1" applyAlignment="1" applyProtection="1">
      <alignment horizontal="left" vertical="top"/>
    </xf>
    <xf numFmtId="0" fontId="0" fillId="42" borderId="75" xfId="0" applyFill="1" applyBorder="1" applyAlignment="1" applyProtection="1">
      <alignment horizontal="center" vertical="top"/>
    </xf>
    <xf numFmtId="0" fontId="0" fillId="42" borderId="75" xfId="0" applyFill="1" applyBorder="1" applyAlignment="1" applyProtection="1">
      <alignment vertical="top"/>
    </xf>
    <xf numFmtId="0" fontId="0" fillId="42" borderId="38" xfId="0" applyFill="1" applyBorder="1" applyAlignment="1" applyProtection="1">
      <alignment vertical="top"/>
    </xf>
    <xf numFmtId="49" fontId="43" fillId="42" borderId="69" xfId="0" applyNumberFormat="1" applyFont="1" applyFill="1" applyBorder="1" applyAlignment="1" applyProtection="1">
      <alignment vertical="top"/>
    </xf>
    <xf numFmtId="49" fontId="0" fillId="42" borderId="71" xfId="0" applyNumberFormat="1" applyFill="1" applyBorder="1" applyAlignment="1" applyProtection="1">
      <alignment vertical="top" wrapText="1"/>
    </xf>
    <xf numFmtId="49" fontId="43" fillId="42" borderId="72" xfId="0" applyNumberFormat="1" applyFont="1" applyFill="1" applyBorder="1" applyAlignment="1" applyProtection="1">
      <alignment vertical="top"/>
    </xf>
    <xf numFmtId="49" fontId="0" fillId="42" borderId="74" xfId="0" applyNumberFormat="1" applyFill="1" applyBorder="1" applyAlignment="1" applyProtection="1">
      <alignment vertical="top"/>
    </xf>
    <xf numFmtId="0" fontId="37" fillId="44" borderId="51" xfId="0" applyFont="1" applyFill="1" applyBorder="1" applyAlignment="1" applyProtection="1">
      <alignment vertical="top"/>
    </xf>
    <xf numFmtId="0" fontId="43" fillId="44" borderId="76" xfId="0" applyFont="1" applyFill="1" applyBorder="1" applyAlignment="1" applyProtection="1">
      <alignment vertical="top"/>
    </xf>
    <xf numFmtId="0" fontId="37" fillId="44" borderId="76" xfId="0" applyFont="1" applyFill="1" applyBorder="1" applyAlignment="1" applyProtection="1">
      <alignment vertical="top"/>
    </xf>
    <xf numFmtId="0" fontId="0" fillId="44" borderId="76" xfId="0" applyFill="1" applyBorder="1" applyAlignment="1" applyProtection="1">
      <alignment vertical="top"/>
    </xf>
    <xf numFmtId="0" fontId="37" fillId="44" borderId="33" xfId="0" applyFont="1" applyFill="1" applyBorder="1" applyAlignment="1" applyProtection="1">
      <alignment horizontal="right" vertical="top"/>
    </xf>
    <xf numFmtId="0" fontId="48" fillId="42" borderId="0" xfId="3" applyFont="1" applyFill="1"/>
    <xf numFmtId="0" fontId="49" fillId="43" borderId="69" xfId="3" applyFont="1" applyFill="1" applyBorder="1"/>
    <xf numFmtId="0" fontId="48" fillId="43" borderId="70" xfId="3" applyFont="1" applyFill="1" applyBorder="1"/>
    <xf numFmtId="0" fontId="49" fillId="43" borderId="71" xfId="3" applyFont="1" applyFill="1" applyBorder="1" applyAlignment="1">
      <alignment horizontal="right"/>
    </xf>
    <xf numFmtId="0" fontId="44" fillId="43" borderId="72" xfId="3" applyFont="1" applyFill="1" applyBorder="1" applyAlignment="1">
      <alignment horizontal="left"/>
    </xf>
    <xf numFmtId="0" fontId="48" fillId="43" borderId="0" xfId="3" applyFont="1" applyFill="1" applyBorder="1"/>
    <xf numFmtId="0" fontId="49" fillId="43" borderId="73" xfId="3" applyFont="1" applyFill="1" applyBorder="1" applyAlignment="1">
      <alignment horizontal="right"/>
    </xf>
    <xf numFmtId="0" fontId="48" fillId="43" borderId="74" xfId="3" applyFont="1" applyFill="1" applyBorder="1" applyAlignment="1">
      <alignment horizontal="left"/>
    </xf>
    <xf numFmtId="0" fontId="48" fillId="43" borderId="75" xfId="3" applyFont="1" applyFill="1" applyBorder="1"/>
    <xf numFmtId="0" fontId="48" fillId="43" borderId="38" xfId="3" applyFont="1" applyFill="1" applyBorder="1"/>
    <xf numFmtId="0" fontId="48" fillId="42" borderId="70" xfId="3" applyFont="1" applyFill="1" applyBorder="1"/>
    <xf numFmtId="0" fontId="48" fillId="42" borderId="0" xfId="3" applyFont="1" applyFill="1" applyBorder="1" applyAlignment="1">
      <alignment horizontal="right"/>
    </xf>
    <xf numFmtId="0" fontId="48" fillId="42" borderId="0" xfId="3" applyFont="1" applyFill="1" applyBorder="1"/>
    <xf numFmtId="0" fontId="48" fillId="42" borderId="69" xfId="3" applyFont="1" applyFill="1" applyBorder="1"/>
    <xf numFmtId="0" fontId="48" fillId="42" borderId="71" xfId="3" applyFont="1" applyFill="1" applyBorder="1"/>
    <xf numFmtId="0" fontId="48" fillId="42" borderId="72" xfId="3" applyFont="1" applyFill="1" applyBorder="1" applyAlignment="1">
      <alignment horizontal="right"/>
    </xf>
    <xf numFmtId="0" fontId="48" fillId="42" borderId="73" xfId="3" applyFont="1" applyFill="1" applyBorder="1"/>
    <xf numFmtId="166" fontId="45" fillId="42" borderId="0" xfId="3" applyNumberFormat="1" applyFont="1" applyFill="1" applyBorder="1"/>
    <xf numFmtId="0" fontId="48" fillId="42" borderId="72" xfId="3" applyFont="1" applyFill="1" applyBorder="1"/>
    <xf numFmtId="0" fontId="48" fillId="42" borderId="74" xfId="3" applyFont="1" applyFill="1" applyBorder="1"/>
    <xf numFmtId="0" fontId="48" fillId="42" borderId="75" xfId="3" applyFont="1" applyFill="1" applyBorder="1"/>
    <xf numFmtId="0" fontId="48" fillId="42" borderId="38" xfId="3" applyFont="1" applyFill="1" applyBorder="1"/>
    <xf numFmtId="0" fontId="48" fillId="44" borderId="76" xfId="3" applyFont="1" applyFill="1" applyBorder="1"/>
    <xf numFmtId="0" fontId="48" fillId="44" borderId="33" xfId="3" applyFont="1" applyFill="1" applyBorder="1"/>
    <xf numFmtId="0" fontId="48" fillId="42" borderId="0" xfId="3" applyFont="1" applyFill="1" applyAlignment="1">
      <alignment horizontal="center"/>
    </xf>
    <xf numFmtId="0" fontId="48" fillId="43" borderId="70" xfId="3" applyFont="1" applyFill="1" applyBorder="1" applyAlignment="1">
      <alignment horizontal="center"/>
    </xf>
    <xf numFmtId="0" fontId="48" fillId="43" borderId="0" xfId="3" applyFont="1" applyFill="1" applyBorder="1" applyAlignment="1">
      <alignment horizontal="center"/>
    </xf>
    <xf numFmtId="0" fontId="48" fillId="43" borderId="75" xfId="3" applyFont="1" applyFill="1" applyBorder="1" applyAlignment="1">
      <alignment horizontal="center"/>
    </xf>
    <xf numFmtId="0" fontId="48" fillId="42" borderId="0" xfId="3" applyFont="1" applyFill="1" applyBorder="1" applyAlignment="1">
      <alignment horizontal="center"/>
    </xf>
    <xf numFmtId="0" fontId="48" fillId="42" borderId="70" xfId="3" applyFont="1" applyFill="1" applyBorder="1" applyAlignment="1">
      <alignment horizontal="center"/>
    </xf>
    <xf numFmtId="0" fontId="45" fillId="42" borderId="0" xfId="3" applyFont="1" applyFill="1" applyBorder="1" applyAlignment="1">
      <alignment horizontal="center"/>
    </xf>
    <xf numFmtId="166" fontId="45" fillId="42" borderId="23" xfId="3" applyNumberFormat="1" applyFont="1" applyFill="1" applyBorder="1" applyAlignment="1">
      <alignment horizontal="center"/>
    </xf>
    <xf numFmtId="0" fontId="48" fillId="42" borderId="75" xfId="3" applyFont="1" applyFill="1" applyBorder="1" applyAlignment="1">
      <alignment horizontal="center"/>
    </xf>
    <xf numFmtId="0" fontId="48" fillId="44" borderId="76" xfId="3" applyFont="1" applyFill="1" applyBorder="1" applyAlignment="1">
      <alignment horizontal="center"/>
    </xf>
    <xf numFmtId="0" fontId="0" fillId="20" borderId="0" xfId="0" applyFill="1" applyAlignment="1">
      <alignment horizontal="center" vertical="center"/>
    </xf>
    <xf numFmtId="0" fontId="0" fillId="20" borderId="23" xfId="0" applyFill="1" applyBorder="1"/>
    <xf numFmtId="0" fontId="0" fillId="12" borderId="0" xfId="0" applyFill="1" applyAlignment="1">
      <alignment horizontal="center" vertical="center"/>
    </xf>
    <xf numFmtId="0" fontId="0" fillId="12" borderId="23" xfId="0" applyFill="1" applyBorder="1"/>
    <xf numFmtId="0" fontId="0" fillId="45" borderId="0" xfId="0" applyFill="1" applyAlignment="1">
      <alignment horizontal="center" vertical="center"/>
    </xf>
    <xf numFmtId="0" fontId="0" fillId="45" borderId="23" xfId="0" applyFill="1" applyBorder="1"/>
    <xf numFmtId="0" fontId="0" fillId="0" borderId="77" xfId="0" applyFill="1" applyBorder="1"/>
    <xf numFmtId="0" fontId="6" fillId="0" borderId="0" xfId="0" applyFont="1"/>
    <xf numFmtId="0" fontId="12" fillId="0" borderId="0" xfId="0" applyFont="1"/>
    <xf numFmtId="0" fontId="0" fillId="0" borderId="73" xfId="0" applyFill="1" applyBorder="1"/>
    <xf numFmtId="0" fontId="4" fillId="20" borderId="23" xfId="0" applyFont="1" applyFill="1" applyBorder="1" applyAlignment="1">
      <alignment horizontal="center"/>
    </xf>
    <xf numFmtId="172" fontId="45" fillId="42" borderId="23" xfId="0" applyNumberFormat="1" applyFont="1" applyFill="1" applyBorder="1" applyAlignment="1" applyProtection="1">
      <alignment horizontal="right" vertical="top"/>
    </xf>
    <xf numFmtId="0" fontId="52" fillId="44" borderId="51" xfId="0" applyFont="1" applyFill="1" applyBorder="1" applyAlignment="1" applyProtection="1">
      <alignment vertical="top"/>
    </xf>
    <xf numFmtId="0" fontId="0" fillId="0" borderId="10" xfId="0" applyBorder="1" applyAlignment="1">
      <alignment horizontal="center"/>
    </xf>
    <xf numFmtId="0" fontId="0" fillId="0" borderId="11" xfId="0" applyBorder="1" applyAlignment="1">
      <alignment horizontal="center"/>
    </xf>
    <xf numFmtId="0" fontId="0" fillId="0" borderId="0" xfId="0"/>
    <xf numFmtId="0" fontId="0" fillId="41" borderId="17" xfId="0" applyFill="1" applyBorder="1" applyAlignment="1" applyProtection="1">
      <alignment horizontal="center"/>
      <protection locked="0"/>
    </xf>
    <xf numFmtId="0" fontId="0" fillId="41" borderId="2" xfId="0" applyFill="1" applyBorder="1" applyAlignment="1" applyProtection="1">
      <alignment horizontal="center"/>
      <protection locked="0"/>
    </xf>
    <xf numFmtId="0" fontId="0" fillId="28" borderId="15" xfId="0" applyFill="1" applyBorder="1" applyAlignment="1">
      <alignment horizontal="center"/>
    </xf>
    <xf numFmtId="0" fontId="0" fillId="28" borderId="3" xfId="0" applyFill="1" applyBorder="1"/>
    <xf numFmtId="0" fontId="0" fillId="28" borderId="5" xfId="0" applyFill="1" applyBorder="1" applyAlignment="1">
      <alignment horizontal="center" vertical="center"/>
    </xf>
    <xf numFmtId="0" fontId="0" fillId="28" borderId="4" xfId="0" applyFill="1" applyBorder="1"/>
    <xf numFmtId="171" fontId="6" fillId="28" borderId="2" xfId="0" applyNumberFormat="1" applyFont="1" applyFill="1" applyBorder="1" applyAlignment="1" applyProtection="1">
      <alignment horizontal="center"/>
    </xf>
    <xf numFmtId="0" fontId="0" fillId="27" borderId="2" xfId="0" applyFill="1" applyBorder="1" applyAlignment="1" applyProtection="1">
      <alignment horizontal="center"/>
      <protection locked="0"/>
    </xf>
    <xf numFmtId="0" fontId="4" fillId="35" borderId="2" xfId="0" applyFont="1" applyFill="1" applyBorder="1" applyAlignment="1">
      <alignment horizontal="center" vertical="center"/>
    </xf>
    <xf numFmtId="0" fontId="11" fillId="27" borderId="2" xfId="0" applyFont="1" applyFill="1" applyBorder="1" applyAlignment="1" applyProtection="1">
      <alignment horizontal="center" vertical="center"/>
      <protection locked="0"/>
    </xf>
    <xf numFmtId="0" fontId="19" fillId="27" borderId="2" xfId="0" applyFont="1" applyFill="1" applyBorder="1" applyAlignment="1" applyProtection="1">
      <alignment horizontal="center"/>
      <protection locked="0"/>
    </xf>
    <xf numFmtId="0" fontId="0" fillId="5" borderId="0" xfId="0" applyFill="1"/>
    <xf numFmtId="0" fontId="0" fillId="5" borderId="0" xfId="0" applyFill="1" applyAlignment="1">
      <alignment vertical="center"/>
    </xf>
    <xf numFmtId="0" fontId="0" fillId="46" borderId="23" xfId="0" applyFill="1" applyBorder="1" applyAlignment="1">
      <alignment vertical="center"/>
    </xf>
    <xf numFmtId="169" fontId="0" fillId="46" borderId="23" xfId="0" applyNumberFormat="1" applyFill="1" applyBorder="1" applyAlignment="1">
      <alignment horizontal="right" vertical="center"/>
    </xf>
    <xf numFmtId="0" fontId="0" fillId="46" borderId="27" xfId="0" applyFill="1" applyBorder="1" applyAlignment="1">
      <alignment horizontal="center" wrapText="1"/>
    </xf>
    <xf numFmtId="0" fontId="53" fillId="0" borderId="0" xfId="0" applyFont="1" applyFill="1" applyAlignment="1">
      <alignment horizontal="center"/>
    </xf>
    <xf numFmtId="0" fontId="19" fillId="41" borderId="2" xfId="0" applyFont="1" applyFill="1" applyBorder="1" applyAlignment="1" applyProtection="1">
      <alignment horizontal="center" vertical="center"/>
      <protection locked="0"/>
    </xf>
    <xf numFmtId="0" fontId="35" fillId="41" borderId="2" xfId="0" applyFont="1" applyFill="1" applyBorder="1" applyAlignment="1" applyProtection="1">
      <alignment horizontal="center" vertical="center"/>
      <protection locked="0"/>
    </xf>
    <xf numFmtId="0" fontId="0" fillId="41" borderId="2" xfId="0" applyFill="1" applyBorder="1" applyProtection="1">
      <protection locked="0"/>
    </xf>
    <xf numFmtId="0" fontId="0" fillId="41" borderId="2" xfId="0" applyFill="1" applyBorder="1" applyAlignment="1" applyProtection="1">
      <alignment horizontal="center" vertical="center"/>
      <protection locked="0"/>
    </xf>
    <xf numFmtId="166" fontId="4" fillId="36" borderId="0" xfId="0" applyNumberFormat="1" applyFont="1" applyFill="1" applyBorder="1" applyAlignment="1">
      <alignment horizontal="right"/>
    </xf>
    <xf numFmtId="166" fontId="54" fillId="16" borderId="0" xfId="0" applyNumberFormat="1" applyFont="1" applyFill="1" applyBorder="1" applyAlignment="1">
      <alignment horizontal="right"/>
    </xf>
    <xf numFmtId="172" fontId="0" fillId="27" borderId="23" xfId="0" applyNumberFormat="1" applyFill="1" applyBorder="1" applyAlignment="1" applyProtection="1">
      <alignment horizontal="right" vertical="top"/>
      <protection locked="0"/>
    </xf>
    <xf numFmtId="0" fontId="50" fillId="47" borderId="23" xfId="0" applyFont="1" applyFill="1" applyBorder="1" applyAlignment="1" applyProtection="1">
      <alignment horizontal="center"/>
      <protection locked="0"/>
    </xf>
    <xf numFmtId="166" fontId="51" fillId="47" borderId="23" xfId="3" applyNumberFormat="1" applyFont="1" applyFill="1" applyBorder="1" applyAlignment="1" applyProtection="1">
      <alignment horizontal="center"/>
      <protection locked="0"/>
    </xf>
    <xf numFmtId="165" fontId="0" fillId="0" borderId="53"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9" borderId="6" xfId="0" applyFill="1" applyBorder="1" applyAlignment="1" applyProtection="1">
      <alignment horizontal="center"/>
      <protection locked="0"/>
    </xf>
    <xf numFmtId="0" fontId="0" fillId="11" borderId="6" xfId="0" applyFill="1" applyBorder="1" applyAlignment="1" applyProtection="1">
      <alignment horizontal="center"/>
      <protection locked="0"/>
    </xf>
    <xf numFmtId="165" fontId="0" fillId="0" borderId="56"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9" borderId="1" xfId="0" applyFill="1" applyBorder="1" applyAlignment="1" applyProtection="1">
      <alignment horizontal="center"/>
      <protection locked="0"/>
    </xf>
    <xf numFmtId="0" fontId="0" fillId="11" borderId="1" xfId="0" applyFill="1" applyBorder="1" applyAlignment="1" applyProtection="1">
      <alignment horizontal="center"/>
      <protection locked="0"/>
    </xf>
    <xf numFmtId="165" fontId="0" fillId="0" borderId="59" xfId="0" applyNumberFormat="1" applyBorder="1" applyAlignment="1" applyProtection="1">
      <alignment horizontal="center"/>
      <protection locked="0"/>
    </xf>
    <xf numFmtId="0" fontId="0" fillId="0" borderId="60" xfId="0" applyBorder="1" applyAlignment="1" applyProtection="1">
      <alignment horizontal="center"/>
      <protection locked="0"/>
    </xf>
    <xf numFmtId="0" fontId="0" fillId="9" borderId="60" xfId="0" applyFill="1" applyBorder="1" applyAlignment="1" applyProtection="1">
      <alignment horizontal="center"/>
      <protection locked="0"/>
    </xf>
    <xf numFmtId="0" fontId="0" fillId="11" borderId="60" xfId="0" applyFill="1" applyBorder="1" applyAlignment="1" applyProtection="1">
      <alignment horizontal="center"/>
      <protection locked="0"/>
    </xf>
    <xf numFmtId="0" fontId="0" fillId="0" borderId="0" xfId="0" applyFill="1" applyBorder="1" applyAlignment="1" applyProtection="1">
      <alignment horizontal="center"/>
      <protection locked="0"/>
    </xf>
    <xf numFmtId="166" fontId="12" fillId="20" borderId="0" xfId="0" applyNumberFormat="1" applyFont="1" applyFill="1" applyBorder="1" applyAlignment="1">
      <alignment horizontal="right"/>
    </xf>
    <xf numFmtId="0" fontId="4" fillId="38" borderId="11" xfId="0" applyFont="1" applyFill="1" applyBorder="1"/>
    <xf numFmtId="0" fontId="0" fillId="0" borderId="0" xfId="0" applyBorder="1" applyAlignment="1">
      <alignment horizontal="left" vertical="center"/>
    </xf>
    <xf numFmtId="0" fontId="0" fillId="9" borderId="8" xfId="0" applyFill="1" applyBorder="1" applyAlignment="1">
      <alignment horizontal="center" vertical="center" wrapText="1" shrinkToFit="1"/>
    </xf>
    <xf numFmtId="0" fontId="0" fillId="9" borderId="0" xfId="0" applyFill="1" applyBorder="1" applyAlignment="1">
      <alignment horizontal="center"/>
    </xf>
    <xf numFmtId="0" fontId="0" fillId="9" borderId="13"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55" fillId="0" borderId="0" xfId="0" applyFont="1"/>
    <xf numFmtId="0" fontId="0" fillId="0" borderId="13" xfId="0" applyFill="1" applyBorder="1" applyAlignment="1">
      <alignment horizontal="center"/>
    </xf>
    <xf numFmtId="0" fontId="0" fillId="0" borderId="13" xfId="0" applyFill="1" applyBorder="1"/>
    <xf numFmtId="0" fontId="0" fillId="0" borderId="72" xfId="0" applyFill="1" applyBorder="1" applyAlignment="1" applyProtection="1">
      <protection locked="0"/>
    </xf>
    <xf numFmtId="0" fontId="0" fillId="36" borderId="0" xfId="0" applyFill="1"/>
    <xf numFmtId="0" fontId="0" fillId="36" borderId="0" xfId="0" applyFill="1" applyAlignment="1">
      <alignment horizontal="left"/>
    </xf>
    <xf numFmtId="0" fontId="0" fillId="36" borderId="0" xfId="0" applyFill="1" applyBorder="1" applyAlignment="1">
      <alignment horizontal="center" vertical="center"/>
    </xf>
    <xf numFmtId="0" fontId="4" fillId="36" borderId="0" xfId="0" applyFont="1" applyFill="1"/>
    <xf numFmtId="0" fontId="22" fillId="20" borderId="2" xfId="0" applyFont="1" applyFill="1" applyBorder="1" applyAlignment="1">
      <alignment horizontal="center"/>
    </xf>
    <xf numFmtId="2" fontId="22" fillId="20" borderId="2" xfId="0" applyNumberFormat="1" applyFont="1" applyFill="1" applyBorder="1" applyAlignment="1">
      <alignment horizontal="center"/>
    </xf>
    <xf numFmtId="0" fontId="22" fillId="20" borderId="2" xfId="0" applyFont="1" applyFill="1" applyBorder="1" applyAlignment="1">
      <alignment horizontal="center" vertical="center"/>
    </xf>
    <xf numFmtId="0" fontId="57" fillId="36" borderId="0" xfId="0" applyFont="1" applyFill="1" applyAlignment="1">
      <alignment horizontal="center"/>
    </xf>
    <xf numFmtId="0" fontId="0" fillId="0" borderId="0" xfId="0" quotePrefix="1" applyProtection="1">
      <protection locked="0"/>
    </xf>
    <xf numFmtId="0" fontId="0" fillId="0" borderId="0" xfId="0" applyProtection="1">
      <protection locked="0"/>
    </xf>
    <xf numFmtId="0" fontId="4" fillId="7" borderId="0" xfId="0" applyFont="1" applyFill="1" applyBorder="1" applyAlignment="1" applyProtection="1">
      <alignment horizontal="center" wrapText="1"/>
    </xf>
    <xf numFmtId="0" fontId="56" fillId="35" borderId="0" xfId="0" applyFont="1" applyFill="1"/>
    <xf numFmtId="0" fontId="8" fillId="35" borderId="0" xfId="0" applyFont="1" applyFill="1" applyAlignment="1">
      <alignment horizontal="right"/>
    </xf>
    <xf numFmtId="0" fontId="0" fillId="5" borderId="4" xfId="0" applyFill="1" applyBorder="1" applyAlignment="1">
      <alignment horizontal="right"/>
    </xf>
    <xf numFmtId="0" fontId="0" fillId="0" borderId="0" xfId="0"/>
    <xf numFmtId="0" fontId="6" fillId="18" borderId="0" xfId="0" applyFont="1" applyFill="1"/>
    <xf numFmtId="0" fontId="0" fillId="45" borderId="78" xfId="0" applyFill="1" applyBorder="1" applyAlignment="1">
      <alignment horizontal="center" vertical="center"/>
    </xf>
    <xf numFmtId="0" fontId="0" fillId="45" borderId="26" xfId="0" applyFill="1" applyBorder="1" applyAlignment="1">
      <alignment horizontal="center" vertical="center"/>
    </xf>
    <xf numFmtId="0" fontId="0" fillId="27" borderId="78" xfId="0" applyFill="1" applyBorder="1" applyAlignment="1">
      <alignment horizontal="center" vertical="center"/>
    </xf>
    <xf numFmtId="0" fontId="0" fillId="27" borderId="26" xfId="0" applyFill="1" applyBorder="1" applyAlignment="1">
      <alignment horizontal="center" vertical="center"/>
    </xf>
    <xf numFmtId="0" fontId="0" fillId="12" borderId="78" xfId="0" applyFill="1" applyBorder="1" applyAlignment="1">
      <alignment horizontal="center" vertical="center"/>
    </xf>
    <xf numFmtId="0" fontId="0" fillId="12" borderId="26" xfId="0" applyFill="1" applyBorder="1" applyAlignment="1">
      <alignment horizontal="center" vertical="center"/>
    </xf>
    <xf numFmtId="0" fontId="0" fillId="20" borderId="78" xfId="0" applyFill="1" applyBorder="1" applyAlignment="1">
      <alignment horizontal="center" vertical="center"/>
    </xf>
    <xf numFmtId="0" fontId="0" fillId="20" borderId="26" xfId="0" applyFill="1" applyBorder="1" applyAlignment="1">
      <alignment horizontal="center" vertical="center"/>
    </xf>
    <xf numFmtId="0" fontId="0" fillId="45" borderId="18" xfId="0" applyFill="1" applyBorder="1" applyAlignment="1">
      <alignment horizontal="center" vertical="center"/>
    </xf>
    <xf numFmtId="0" fontId="0" fillId="45" borderId="20" xfId="0" applyFill="1" applyBorder="1" applyAlignment="1">
      <alignment horizontal="center" vertical="center"/>
    </xf>
    <xf numFmtId="2" fontId="0" fillId="45" borderId="27" xfId="0" applyNumberFormat="1" applyFill="1" applyBorder="1" applyAlignment="1">
      <alignment horizontal="center" wrapText="1"/>
    </xf>
    <xf numFmtId="0" fontId="0" fillId="45" borderId="27" xfId="0" applyFill="1" applyBorder="1" applyAlignment="1">
      <alignment horizontal="center" wrapText="1"/>
    </xf>
    <xf numFmtId="0" fontId="0" fillId="45" borderId="0" xfId="0" applyFill="1"/>
    <xf numFmtId="0" fontId="0" fillId="0" borderId="0" xfId="0"/>
    <xf numFmtId="0" fontId="0" fillId="0" borderId="0" xfId="0"/>
    <xf numFmtId="0" fontId="0" fillId="48" borderId="0" xfId="0" applyFill="1"/>
    <xf numFmtId="0" fontId="19" fillId="0" borderId="0" xfId="0" applyFont="1"/>
    <xf numFmtId="0" fontId="59" fillId="0" borderId="0" xfId="0" applyFont="1"/>
    <xf numFmtId="0" fontId="60" fillId="0" borderId="0" xfId="0" applyFont="1"/>
    <xf numFmtId="0" fontId="0" fillId="0" borderId="0" xfId="0"/>
    <xf numFmtId="43" fontId="0" fillId="18" borderId="0" xfId="0" applyNumberFormat="1" applyFill="1"/>
    <xf numFmtId="0" fontId="4" fillId="0" borderId="27" xfId="0" applyFont="1" applyBorder="1" applyAlignment="1">
      <alignment horizontal="center" vertical="center" wrapText="1"/>
    </xf>
    <xf numFmtId="0" fontId="0" fillId="0" borderId="27" xfId="0" applyBorder="1" applyAlignment="1">
      <alignment vertical="center" wrapText="1"/>
    </xf>
    <xf numFmtId="0" fontId="0" fillId="3" borderId="0" xfId="0" applyFill="1" applyAlignment="1">
      <alignment vertical="top"/>
    </xf>
    <xf numFmtId="2" fontId="0" fillId="20" borderId="23" xfId="0" applyNumberFormat="1" applyFill="1" applyBorder="1" applyAlignment="1">
      <alignment horizontal="center" vertical="center"/>
    </xf>
    <xf numFmtId="0" fontId="55" fillId="3" borderId="0" xfId="0" applyFont="1" applyFill="1" applyAlignment="1">
      <alignment horizontal="center"/>
    </xf>
    <xf numFmtId="0" fontId="0" fillId="0" borderId="82" xfId="0" applyBorder="1" applyAlignment="1">
      <alignment vertical="center" wrapText="1"/>
    </xf>
    <xf numFmtId="0" fontId="4" fillId="0" borderId="0" xfId="0" applyFont="1" applyBorder="1" applyAlignment="1">
      <alignment horizontal="center" vertical="center" wrapText="1"/>
    </xf>
    <xf numFmtId="0" fontId="0" fillId="0" borderId="0" xfId="0" applyBorder="1"/>
    <xf numFmtId="0" fontId="0" fillId="0" borderId="30" xfId="0" applyBorder="1" applyAlignment="1">
      <alignment vertical="center" wrapText="1"/>
    </xf>
    <xf numFmtId="0" fontId="0" fillId="0" borderId="23" xfId="0" applyBorder="1" applyAlignment="1">
      <alignment vertical="center" wrapText="1"/>
    </xf>
    <xf numFmtId="0" fontId="4" fillId="49" borderId="27" xfId="0" applyFont="1" applyFill="1" applyBorder="1" applyAlignment="1">
      <alignment horizontal="center" vertical="center" wrapText="1"/>
    </xf>
    <xf numFmtId="0" fontId="4" fillId="45" borderId="82"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0" fillId="24" borderId="27" xfId="0" applyFill="1" applyBorder="1" applyAlignment="1">
      <alignment vertical="center" wrapText="1"/>
    </xf>
    <xf numFmtId="0" fontId="58" fillId="0" borderId="0" xfId="0" applyFont="1" applyBorder="1" applyAlignment="1">
      <alignment vertical="center" wrapText="1"/>
    </xf>
    <xf numFmtId="1" fontId="0" fillId="0" borderId="0" xfId="0" applyNumberFormat="1" applyFill="1" applyBorder="1" applyAlignment="1">
      <alignment horizontal="center"/>
    </xf>
    <xf numFmtId="0" fontId="0" fillId="0" borderId="0" xfId="0" applyFill="1" applyBorder="1" applyAlignment="1">
      <alignment horizontal="left"/>
    </xf>
    <xf numFmtId="0" fontId="0" fillId="0" borderId="0" xfId="0"/>
    <xf numFmtId="0" fontId="0" fillId="0" borderId="0" xfId="0"/>
    <xf numFmtId="0" fontId="0" fillId="0" borderId="0" xfId="0" applyAlignment="1"/>
    <xf numFmtId="0" fontId="0" fillId="0" borderId="0" xfId="0" applyBorder="1" applyAlignment="1">
      <alignment vertical="center"/>
    </xf>
    <xf numFmtId="0" fontId="0" fillId="0" borderId="0" xfId="0" applyFill="1" applyBorder="1" applyAlignment="1">
      <alignment horizontal="left" vertical="top"/>
    </xf>
    <xf numFmtId="2" fontId="22" fillId="20" borderId="2" xfId="0" applyNumberFormat="1" applyFont="1" applyFill="1" applyBorder="1" applyAlignment="1">
      <alignment horizontal="center" vertical="center"/>
    </xf>
    <xf numFmtId="0" fontId="0" fillId="36" borderId="0" xfId="0" applyFill="1" applyAlignment="1">
      <alignment vertical="center"/>
    </xf>
    <xf numFmtId="0" fontId="0" fillId="4" borderId="33" xfId="0" applyFill="1" applyBorder="1" applyAlignment="1" applyProtection="1">
      <alignment horizontal="right"/>
      <protection locked="0"/>
    </xf>
    <xf numFmtId="0" fontId="0" fillId="0" borderId="0" xfId="0"/>
    <xf numFmtId="16" fontId="0" fillId="0" borderId="43" xfId="0" quotePrefix="1" applyNumberFormat="1" applyBorder="1" applyAlignment="1">
      <alignment horizontal="right"/>
    </xf>
    <xf numFmtId="0" fontId="0" fillId="0" borderId="85" xfId="0" quotePrefix="1" applyBorder="1" applyAlignment="1">
      <alignment horizontal="right"/>
    </xf>
    <xf numFmtId="0" fontId="0" fillId="0" borderId="85" xfId="0" applyBorder="1" applyAlignment="1">
      <alignment horizontal="left"/>
    </xf>
    <xf numFmtId="0" fontId="0" fillId="0" borderId="85" xfId="0" applyBorder="1"/>
    <xf numFmtId="0" fontId="0" fillId="0" borderId="85" xfId="0" applyBorder="1" applyAlignment="1">
      <alignment horizontal="center"/>
    </xf>
    <xf numFmtId="0" fontId="0" fillId="0" borderId="86" xfId="0" applyBorder="1" applyAlignment="1">
      <alignment horizontal="center"/>
    </xf>
    <xf numFmtId="0" fontId="2" fillId="0" borderId="0" xfId="0" applyFont="1" applyFill="1" applyBorder="1"/>
    <xf numFmtId="0" fontId="0" fillId="32" borderId="87" xfId="0" applyFill="1" applyBorder="1"/>
    <xf numFmtId="0" fontId="0" fillId="32" borderId="45" xfId="0" applyFill="1" applyBorder="1"/>
    <xf numFmtId="0" fontId="0" fillId="5" borderId="0" xfId="0" applyFill="1" applyAlignment="1">
      <alignment horizontal="center" vertical="center"/>
    </xf>
    <xf numFmtId="0" fontId="0" fillId="10" borderId="88" xfId="0" applyFill="1" applyBorder="1"/>
    <xf numFmtId="0" fontId="2" fillId="10" borderId="88" xfId="0" applyFont="1" applyFill="1" applyBorder="1"/>
    <xf numFmtId="0" fontId="0" fillId="0" borderId="89" xfId="0" applyBorder="1"/>
    <xf numFmtId="0" fontId="2" fillId="4" borderId="89" xfId="0" applyFont="1" applyFill="1" applyBorder="1" applyAlignment="1">
      <alignment horizontal="center"/>
    </xf>
    <xf numFmtId="0" fontId="0" fillId="10" borderId="89" xfId="0" applyFill="1" applyBorder="1"/>
    <xf numFmtId="0" fontId="0" fillId="10" borderId="89" xfId="0" applyFill="1" applyBorder="1" applyAlignment="1">
      <alignment vertical="center"/>
    </xf>
    <xf numFmtId="0" fontId="2" fillId="10" borderId="89" xfId="0" applyFont="1" applyFill="1" applyBorder="1"/>
    <xf numFmtId="0" fontId="0" fillId="0" borderId="89" xfId="0" applyBorder="1" applyAlignment="1">
      <alignment vertical="center"/>
    </xf>
    <xf numFmtId="0" fontId="2" fillId="0" borderId="89" xfId="0" applyFont="1" applyBorder="1"/>
    <xf numFmtId="0" fontId="0" fillId="0" borderId="0" xfId="0" applyFill="1" applyBorder="1" applyAlignment="1">
      <alignment horizontal="center"/>
    </xf>
    <xf numFmtId="0" fontId="0" fillId="0" borderId="0" xfId="0"/>
    <xf numFmtId="0" fontId="61" fillId="0" borderId="0" xfId="0" applyFont="1"/>
    <xf numFmtId="0" fontId="0" fillId="0" borderId="0" xfId="0" applyAlignment="1">
      <alignment horizontal="center" vertical="center" wrapText="1"/>
    </xf>
    <xf numFmtId="0" fontId="39" fillId="50" borderId="0" xfId="0" applyFont="1" applyFill="1" applyAlignment="1">
      <alignment vertical="center"/>
    </xf>
    <xf numFmtId="0" fontId="0" fillId="0" borderId="0" xfId="0" applyFill="1" applyAlignment="1">
      <alignment vertical="center"/>
    </xf>
    <xf numFmtId="170" fontId="0" fillId="21" borderId="0" xfId="0" applyNumberFormat="1" applyFill="1" applyAlignment="1">
      <alignment vertical="center"/>
    </xf>
    <xf numFmtId="170" fontId="0" fillId="0" borderId="0" xfId="0" applyNumberFormat="1" applyAlignment="1">
      <alignment vertical="center"/>
    </xf>
    <xf numFmtId="169" fontId="0" fillId="0" borderId="0" xfId="0" applyNumberFormat="1" applyAlignment="1">
      <alignment horizontal="center" vertical="center"/>
    </xf>
    <xf numFmtId="169" fontId="0" fillId="46" borderId="0" xfId="0" applyNumberFormat="1" applyFill="1" applyAlignment="1">
      <alignment vertical="center"/>
    </xf>
    <xf numFmtId="0" fontId="6" fillId="0" borderId="0" xfId="0" applyFont="1" applyAlignment="1">
      <alignment vertical="center"/>
    </xf>
    <xf numFmtId="0" fontId="0" fillId="12" borderId="23" xfId="0" applyFill="1" applyBorder="1" applyAlignment="1">
      <alignment horizontal="center" vertical="center"/>
    </xf>
    <xf numFmtId="0" fontId="0" fillId="24" borderId="2" xfId="0" applyFill="1" applyBorder="1" applyAlignment="1">
      <alignment horizontal="center" vertical="center"/>
    </xf>
    <xf numFmtId="0" fontId="0" fillId="0" borderId="0" xfId="0"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62" fillId="0" borderId="0" xfId="0" applyFont="1" applyBorder="1" applyAlignment="1">
      <alignment horizontal="center" vertical="center" wrapText="1"/>
    </xf>
    <xf numFmtId="2" fontId="1" fillId="24" borderId="2" xfId="0" applyNumberFormat="1" applyFont="1" applyFill="1" applyBorder="1" applyAlignment="1">
      <alignment horizontal="center" vertical="center"/>
    </xf>
    <xf numFmtId="0" fontId="0" fillId="0" borderId="0" xfId="0"/>
    <xf numFmtId="0" fontId="19" fillId="0" borderId="0" xfId="0" applyFont="1" applyAlignment="1">
      <alignment horizontal="center" vertical="center"/>
    </xf>
    <xf numFmtId="0" fontId="1" fillId="4" borderId="2" xfId="0" applyFont="1" applyFill="1" applyBorder="1" applyAlignment="1">
      <alignment horizontal="center" vertical="center"/>
    </xf>
    <xf numFmtId="0" fontId="19" fillId="4" borderId="2" xfId="0" applyFont="1" applyFill="1" applyBorder="1" applyAlignment="1">
      <alignment horizontal="center" vertical="center"/>
    </xf>
    <xf numFmtId="0" fontId="11" fillId="0" borderId="0" xfId="0" applyFont="1" applyAlignment="1">
      <alignment horizontal="left" vertical="center"/>
    </xf>
    <xf numFmtId="0" fontId="11" fillId="0" borderId="0" xfId="0" applyFont="1"/>
    <xf numFmtId="0" fontId="1" fillId="0" borderId="0" xfId="0" applyFont="1" applyAlignment="1">
      <alignment vertical="center"/>
    </xf>
    <xf numFmtId="0" fontId="1" fillId="0" borderId="0" xfId="0" applyFont="1" applyAlignment="1">
      <alignment horizontal="right"/>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63" fillId="15" borderId="0" xfId="0" applyFont="1" applyFill="1"/>
    <xf numFmtId="0" fontId="64" fillId="0" borderId="0" xfId="0" applyFont="1" applyAlignment="1">
      <alignment vertical="center"/>
    </xf>
    <xf numFmtId="0" fontId="65" fillId="0" borderId="0" xfId="0" applyFont="1" applyAlignment="1">
      <alignment vertical="center"/>
    </xf>
    <xf numFmtId="0" fontId="0" fillId="36" borderId="0" xfId="0" applyFill="1" applyAlignment="1">
      <alignment horizontal="center"/>
    </xf>
    <xf numFmtId="0" fontId="0" fillId="36" borderId="0" xfId="0" applyFill="1" applyAlignment="1">
      <alignment horizontal="right"/>
    </xf>
    <xf numFmtId="0" fontId="0" fillId="36" borderId="0" xfId="0" applyFill="1" applyAlignment="1">
      <alignment horizontal="center" vertical="center"/>
    </xf>
    <xf numFmtId="0" fontId="0" fillId="36" borderId="0" xfId="0" applyFill="1" applyAlignment="1">
      <alignment horizontal="left" vertical="center"/>
    </xf>
    <xf numFmtId="0" fontId="67" fillId="0" borderId="0" xfId="0" applyFont="1"/>
    <xf numFmtId="0" fontId="0" fillId="28" borderId="0" xfId="0" applyFill="1" applyBorder="1"/>
    <xf numFmtId="0" fontId="0" fillId="28" borderId="0" xfId="0" applyFill="1" applyBorder="1" applyAlignment="1">
      <alignment horizontal="center"/>
    </xf>
    <xf numFmtId="0" fontId="0" fillId="18" borderId="32" xfId="0" applyFill="1" applyBorder="1" applyAlignment="1">
      <alignment vertical="center"/>
    </xf>
    <xf numFmtId="0" fontId="0" fillId="18" borderId="33" xfId="0" applyFill="1" applyBorder="1" applyAlignment="1">
      <alignment vertical="center"/>
    </xf>
    <xf numFmtId="0" fontId="0" fillId="27" borderId="2" xfId="0" applyFill="1" applyBorder="1" applyAlignment="1" applyProtection="1">
      <alignment horizontal="center"/>
    </xf>
    <xf numFmtId="0" fontId="0" fillId="12" borderId="2" xfId="0" applyFill="1" applyBorder="1" applyAlignment="1" applyProtection="1">
      <alignment horizontal="center"/>
    </xf>
    <xf numFmtId="0" fontId="0" fillId="6" borderId="0" xfId="0" applyFill="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62" fillId="0" borderId="0" xfId="0" applyFont="1" applyAlignment="1">
      <alignment horizontal="center"/>
    </xf>
    <xf numFmtId="0" fontId="31" fillId="0" borderId="0" xfId="0" applyFont="1" applyAlignment="1">
      <alignment horizontal="center"/>
    </xf>
    <xf numFmtId="0" fontId="2" fillId="0" borderId="5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0" fillId="0" borderId="0" xfId="0" applyFill="1" applyBorder="1" applyAlignment="1">
      <alignment horizontal="center"/>
    </xf>
    <xf numFmtId="0" fontId="39" fillId="52" borderId="0" xfId="0" applyFont="1" applyFill="1"/>
    <xf numFmtId="0" fontId="68" fillId="52" borderId="0" xfId="0" applyFont="1" applyFill="1"/>
    <xf numFmtId="166" fontId="0" fillId="7" borderId="23" xfId="0" applyNumberFormat="1" applyFill="1" applyBorder="1" applyAlignment="1">
      <alignment horizontal="center" vertical="center"/>
    </xf>
    <xf numFmtId="0" fontId="0" fillId="0" borderId="11" xfId="0" quotePrefix="1" applyBorder="1" applyAlignment="1">
      <alignment horizontal="left" vertical="center"/>
    </xf>
    <xf numFmtId="173" fontId="2" fillId="41" borderId="50" xfId="0" applyNumberFormat="1" applyFont="1" applyFill="1" applyBorder="1" applyAlignment="1" applyProtection="1">
      <alignment horizontal="center" vertical="center"/>
      <protection locked="0"/>
    </xf>
    <xf numFmtId="0" fontId="0" fillId="41" borderId="29" xfId="0" applyFill="1" applyBorder="1" applyAlignment="1" applyProtection="1">
      <alignment horizontal="left" vertical="center"/>
      <protection locked="0"/>
    </xf>
    <xf numFmtId="0" fontId="0" fillId="41" borderId="23" xfId="0" applyFill="1" applyBorder="1" applyAlignment="1" applyProtection="1">
      <alignment horizontal="center" vertical="center"/>
      <protection locked="0"/>
    </xf>
    <xf numFmtId="0" fontId="0" fillId="41" borderId="23" xfId="0" applyFill="1" applyBorder="1" applyAlignment="1" applyProtection="1">
      <alignment horizontal="center"/>
      <protection locked="0"/>
    </xf>
    <xf numFmtId="0" fontId="6" fillId="41" borderId="52" xfId="0" applyFont="1" applyFill="1" applyBorder="1" applyAlignment="1" applyProtection="1">
      <alignment horizontal="right"/>
      <protection locked="0"/>
    </xf>
    <xf numFmtId="0" fontId="2" fillId="8" borderId="10" xfId="0" applyFont="1" applyFill="1" applyBorder="1" applyAlignment="1">
      <alignment horizontal="center" vertical="center" wrapText="1" shrinkToFit="1"/>
    </xf>
    <xf numFmtId="0" fontId="0" fillId="0" borderId="0" xfId="0"/>
    <xf numFmtId="0" fontId="55" fillId="0" borderId="0" xfId="0" applyFont="1" applyAlignment="1">
      <alignment horizontal="center" vertical="center" wrapText="1"/>
    </xf>
    <xf numFmtId="0" fontId="55" fillId="0" borderId="0" xfId="0" applyFont="1" applyAlignment="1">
      <alignment horizontal="center" vertical="center"/>
    </xf>
    <xf numFmtId="0" fontId="2" fillId="41" borderId="10" xfId="0" applyFont="1" applyFill="1" applyBorder="1" applyAlignment="1">
      <alignment horizontal="center" vertical="center" wrapText="1" shrinkToFit="1"/>
    </xf>
    <xf numFmtId="0" fontId="55" fillId="0" borderId="0" xfId="0" applyFont="1" applyAlignment="1">
      <alignment vertical="center"/>
    </xf>
    <xf numFmtId="0" fontId="0" fillId="41" borderId="51" xfId="0" applyFont="1" applyFill="1" applyBorder="1" applyAlignment="1" applyProtection="1">
      <alignment horizontal="center" vertical="center"/>
      <protection locked="0"/>
    </xf>
    <xf numFmtId="170" fontId="0" fillId="24" borderId="23" xfId="0" applyNumberFormat="1" applyFill="1" applyBorder="1" applyAlignment="1">
      <alignment vertical="center"/>
    </xf>
    <xf numFmtId="0" fontId="70" fillId="0" borderId="0" xfId="0" applyFont="1" applyAlignment="1">
      <alignment horizontal="center"/>
    </xf>
    <xf numFmtId="0" fontId="71" fillId="0" borderId="0" xfId="0" applyFont="1" applyAlignment="1">
      <alignment horizontal="center"/>
    </xf>
    <xf numFmtId="0" fontId="0" fillId="0" borderId="0" xfId="0" applyFill="1"/>
    <xf numFmtId="0" fontId="73" fillId="0" borderId="0" xfId="0" applyFont="1"/>
    <xf numFmtId="0" fontId="71" fillId="0" borderId="0" xfId="0" applyFont="1" applyAlignment="1"/>
    <xf numFmtId="1" fontId="0" fillId="53" borderId="0" xfId="0" applyNumberFormat="1" applyFill="1" applyAlignment="1">
      <alignment horizontal="center"/>
    </xf>
    <xf numFmtId="2" fontId="0" fillId="53" borderId="0" xfId="0" applyNumberFormat="1" applyFill="1" applyAlignment="1">
      <alignment horizontal="center"/>
    </xf>
    <xf numFmtId="169" fontId="4" fillId="20" borderId="0" xfId="0" applyNumberFormat="1" applyFont="1" applyFill="1" applyAlignment="1">
      <alignment horizontal="center"/>
    </xf>
    <xf numFmtId="0" fontId="4" fillId="20" borderId="0" xfId="0" applyFont="1" applyFill="1" applyAlignment="1">
      <alignment horizontal="center"/>
    </xf>
    <xf numFmtId="166" fontId="0" fillId="20" borderId="0" xfId="0" applyNumberFormat="1" applyFill="1" applyAlignment="1">
      <alignment horizontal="center"/>
    </xf>
    <xf numFmtId="0" fontId="0" fillId="53" borderId="0" xfId="0" applyFill="1" applyAlignment="1">
      <alignment horizontal="center"/>
    </xf>
    <xf numFmtId="0" fontId="0" fillId="27" borderId="0" xfId="0" applyFill="1" applyAlignment="1" applyProtection="1">
      <alignment horizontal="center"/>
      <protection locked="0"/>
    </xf>
    <xf numFmtId="0" fontId="4" fillId="27" borderId="0" xfId="0" applyFont="1" applyFill="1" applyAlignment="1" applyProtection="1">
      <alignment horizontal="center"/>
      <protection locked="0"/>
    </xf>
    <xf numFmtId="0" fontId="11" fillId="32" borderId="0" xfId="0" applyFont="1" applyFill="1" applyBorder="1" applyAlignment="1">
      <alignment horizontal="center"/>
    </xf>
    <xf numFmtId="0" fontId="0" fillId="0" borderId="93" xfId="0" applyBorder="1" applyProtection="1">
      <protection locked="0"/>
    </xf>
    <xf numFmtId="0" fontId="0" fillId="41" borderId="0" xfId="0" applyFill="1" applyBorder="1" applyAlignment="1" applyProtection="1">
      <alignment horizontal="left" vertical="center"/>
      <protection locked="0"/>
    </xf>
    <xf numFmtId="0" fontId="0" fillId="41" borderId="11" xfId="0" applyFill="1" applyBorder="1" applyAlignment="1" applyProtection="1">
      <alignment horizontal="center"/>
      <protection locked="0"/>
    </xf>
    <xf numFmtId="170" fontId="0" fillId="6" borderId="0" xfId="0" applyNumberFormat="1" applyFill="1" applyAlignment="1" applyProtection="1">
      <alignment vertical="center"/>
      <protection locked="0"/>
    </xf>
    <xf numFmtId="0" fontId="11" fillId="4" borderId="0" xfId="0" applyFont="1" applyFill="1"/>
    <xf numFmtId="0" fontId="11" fillId="0" borderId="0" xfId="0" applyFont="1" applyAlignment="1">
      <alignment horizontal="center"/>
    </xf>
    <xf numFmtId="0" fontId="56"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166" fontId="0" fillId="24" borderId="23" xfId="0" applyNumberFormat="1" applyFill="1" applyBorder="1" applyAlignment="1">
      <alignment horizontal="center" vertical="center"/>
    </xf>
    <xf numFmtId="170" fontId="0" fillId="4" borderId="23" xfId="0" applyNumberFormat="1" applyFill="1" applyBorder="1" applyAlignment="1">
      <alignment vertical="center"/>
    </xf>
    <xf numFmtId="170" fontId="0" fillId="4" borderId="0" xfId="0" applyNumberFormat="1" applyFill="1" applyAlignment="1">
      <alignment vertical="center"/>
    </xf>
    <xf numFmtId="0" fontId="55" fillId="18" borderId="0" xfId="0" quotePrefix="1" applyFont="1" applyFill="1" applyAlignment="1">
      <alignment horizontal="left" vertical="center"/>
    </xf>
    <xf numFmtId="0" fontId="10" fillId="54" borderId="0" xfId="0" applyFont="1" applyFill="1" applyAlignment="1">
      <alignment horizontal="center"/>
    </xf>
    <xf numFmtId="0" fontId="10" fillId="22" borderId="0" xfId="0" applyFont="1" applyFill="1" applyAlignment="1">
      <alignment horizontal="center"/>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Border="1" applyAlignment="1">
      <alignment horizontal="center" vertical="top"/>
    </xf>
    <xf numFmtId="0" fontId="11" fillId="0" borderId="0" xfId="0" applyFont="1" applyFill="1" applyBorder="1" applyAlignment="1">
      <alignment horizontal="center" vertical="center"/>
    </xf>
    <xf numFmtId="166" fontId="11" fillId="24" borderId="0" xfId="0" applyNumberFormat="1" applyFont="1" applyFill="1" applyAlignment="1">
      <alignment horizontal="center" vertical="center"/>
    </xf>
    <xf numFmtId="0" fontId="11" fillId="24" borderId="2" xfId="0" applyFont="1" applyFill="1" applyBorder="1" applyAlignment="1">
      <alignment horizontal="center" vertical="center"/>
    </xf>
    <xf numFmtId="0" fontId="0" fillId="6" borderId="0" xfId="0" applyFill="1" applyBorder="1" applyAlignment="1" applyProtection="1">
      <alignment horizontal="center"/>
      <protection locked="0"/>
    </xf>
    <xf numFmtId="0" fontId="0" fillId="6" borderId="0" xfId="0" applyFill="1" applyAlignment="1" applyProtection="1">
      <alignment horizontal="center"/>
      <protection locked="0"/>
    </xf>
    <xf numFmtId="0" fontId="0" fillId="0" borderId="57" xfId="0" applyBorder="1" applyAlignment="1" applyProtection="1">
      <alignment horizontal="center"/>
      <protection locked="0"/>
    </xf>
    <xf numFmtId="0" fontId="0" fillId="0" borderId="91" xfId="0"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0" fillId="0" borderId="61" xfId="0" applyBorder="1" applyAlignment="1" applyProtection="1">
      <alignment horizontal="center"/>
      <protection locked="0"/>
    </xf>
    <xf numFmtId="0" fontId="0" fillId="0" borderId="92" xfId="0" applyBorder="1" applyAlignment="1" applyProtection="1">
      <alignment horizontal="center"/>
      <protection locked="0"/>
    </xf>
    <xf numFmtId="0" fontId="2" fillId="0" borderId="54"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2" fillId="41" borderId="0" xfId="0" applyFont="1" applyFill="1" applyBorder="1" applyAlignment="1" applyProtection="1">
      <alignment horizontal="center" vertical="center" wrapText="1" shrinkToFit="1"/>
      <protection locked="0"/>
    </xf>
    <xf numFmtId="0" fontId="2" fillId="41" borderId="11" xfId="0" applyFont="1" applyFill="1" applyBorder="1" applyAlignment="1" applyProtection="1">
      <alignment horizontal="center" vertical="center" wrapText="1" shrinkToFit="1"/>
      <protection locked="0"/>
    </xf>
    <xf numFmtId="0" fontId="0" fillId="13" borderId="13" xfId="0" applyFill="1" applyBorder="1" applyAlignment="1">
      <alignment horizontal="center" vertical="top"/>
    </xf>
    <xf numFmtId="0" fontId="0" fillId="51" borderId="7" xfId="0" applyFill="1" applyBorder="1" applyAlignment="1">
      <alignment horizontal="center" vertical="center" wrapText="1" shrinkToFit="1"/>
    </xf>
    <xf numFmtId="0" fontId="0" fillId="51" borderId="10" xfId="0" applyFill="1" applyBorder="1" applyAlignment="1">
      <alignment horizontal="center" vertical="center" wrapText="1" shrinkToFit="1"/>
    </xf>
    <xf numFmtId="0" fontId="0" fillId="51" borderId="12" xfId="0" applyFill="1" applyBorder="1" applyAlignment="1">
      <alignment horizontal="center" vertical="center" wrapText="1" shrinkToFit="1"/>
    </xf>
    <xf numFmtId="0" fontId="0" fillId="7" borderId="8" xfId="0" applyFill="1" applyBorder="1" applyAlignment="1">
      <alignment horizontal="center" vertical="center" wrapText="1" shrinkToFit="1"/>
    </xf>
    <xf numFmtId="0" fontId="0" fillId="7" borderId="9" xfId="0" applyFill="1" applyBorder="1" applyAlignment="1">
      <alignment horizontal="center" vertical="center" wrapText="1" shrinkToFit="1"/>
    </xf>
    <xf numFmtId="0" fontId="0" fillId="7" borderId="0" xfId="0" applyFill="1" applyBorder="1" applyAlignment="1">
      <alignment horizontal="center" vertical="center" wrapText="1" shrinkToFit="1"/>
    </xf>
    <xf numFmtId="0" fontId="0" fillId="7" borderId="11" xfId="0" applyFill="1" applyBorder="1" applyAlignment="1">
      <alignment horizontal="center" vertical="center" wrapText="1" shrinkToFit="1"/>
    </xf>
    <xf numFmtId="0" fontId="0" fillId="7" borderId="13" xfId="0" applyFill="1" applyBorder="1" applyAlignment="1">
      <alignment horizontal="center" vertical="center" wrapText="1" shrinkToFit="1"/>
    </xf>
    <xf numFmtId="0" fontId="0" fillId="7" borderId="14" xfId="0" applyFill="1" applyBorder="1" applyAlignment="1">
      <alignment horizontal="center" vertical="center" wrapText="1" shrinkToFit="1"/>
    </xf>
    <xf numFmtId="0" fontId="0" fillId="0" borderId="54" xfId="0" applyBorder="1" applyAlignment="1" applyProtection="1">
      <alignment horizontal="center"/>
      <protection locked="0"/>
    </xf>
    <xf numFmtId="0" fontId="0" fillId="0" borderId="90" xfId="0" applyBorder="1" applyAlignment="1" applyProtection="1">
      <alignment horizontal="center"/>
      <protection locked="0"/>
    </xf>
    <xf numFmtId="0" fontId="0" fillId="3" borderId="15" xfId="0" applyFill="1" applyBorder="1" applyAlignment="1">
      <alignment horizontal="center" vertical="center" wrapText="1" shrinkToFit="1"/>
    </xf>
    <xf numFmtId="0" fontId="0" fillId="3" borderId="16" xfId="0" applyFill="1" applyBorder="1" applyAlignment="1">
      <alignment horizontal="center" vertical="center" wrapText="1" shrinkToFit="1"/>
    </xf>
    <xf numFmtId="0" fontId="0" fillId="3" borderId="17" xfId="0" applyFill="1" applyBorder="1" applyAlignment="1">
      <alignment horizontal="center" vertical="center" wrapText="1" shrinkToFit="1"/>
    </xf>
    <xf numFmtId="0" fontId="0" fillId="5" borderId="15" xfId="0" applyFill="1" applyBorder="1" applyAlignment="1">
      <alignment horizontal="center" vertical="center" wrapText="1" shrinkToFit="1"/>
    </xf>
    <xf numFmtId="0" fontId="0" fillId="5" borderId="16" xfId="0" applyFill="1" applyBorder="1" applyAlignment="1">
      <alignment horizontal="center" vertical="center" wrapText="1" shrinkToFit="1"/>
    </xf>
    <xf numFmtId="0" fontId="0" fillId="5" borderId="17" xfId="0" applyFill="1" applyBorder="1" applyAlignment="1">
      <alignment horizontal="center" vertical="center" wrapText="1" shrinkToFit="1"/>
    </xf>
    <xf numFmtId="0" fontId="0" fillId="0" borderId="15" xfId="0" applyBorder="1" applyAlignment="1">
      <alignment horizontal="center"/>
    </xf>
    <xf numFmtId="0" fontId="0" fillId="0" borderId="16" xfId="0" applyBorder="1" applyAlignment="1">
      <alignment horizontal="center"/>
    </xf>
    <xf numFmtId="0" fontId="0" fillId="37" borderId="10" xfId="0" applyFill="1" applyBorder="1" applyAlignment="1">
      <alignment horizontal="center" vertical="center" wrapText="1" shrinkToFit="1"/>
    </xf>
    <xf numFmtId="0" fontId="2" fillId="10" borderId="0" xfId="0" applyFont="1" applyFill="1" applyBorder="1" applyAlignment="1">
      <alignment horizontal="center" vertical="center" wrapText="1" shrinkToFit="1"/>
    </xf>
    <xf numFmtId="0" fontId="0" fillId="4" borderId="7" xfId="0" applyFill="1" applyBorder="1" applyAlignment="1">
      <alignment horizontal="center" wrapText="1" shrinkToFit="1"/>
    </xf>
    <xf numFmtId="0" fontId="0" fillId="4" borderId="8" xfId="0" applyFill="1" applyBorder="1" applyAlignment="1">
      <alignment horizontal="center" wrapText="1" shrinkToFit="1"/>
    </xf>
    <xf numFmtId="0" fontId="56" fillId="32" borderId="0" xfId="0" applyFont="1" applyFill="1" applyBorder="1" applyAlignment="1">
      <alignment horizontal="center" wrapText="1"/>
    </xf>
    <xf numFmtId="0" fontId="0" fillId="0" borderId="65" xfId="0" applyBorder="1" applyAlignment="1">
      <alignment horizontal="center" vertical="center"/>
    </xf>
    <xf numFmtId="0" fontId="0" fillId="0" borderId="5" xfId="0" applyBorder="1" applyAlignment="1">
      <alignment horizontal="center" vertical="center"/>
    </xf>
    <xf numFmtId="0" fontId="0" fillId="41" borderId="63" xfId="0" applyFill="1" applyBorder="1" applyAlignment="1" applyProtection="1">
      <alignment horizontal="right" vertical="center"/>
      <protection locked="0"/>
    </xf>
    <xf numFmtId="0" fontId="0" fillId="41" borderId="64" xfId="0" applyFill="1" applyBorder="1" applyAlignment="1" applyProtection="1">
      <alignment horizontal="right" vertical="center"/>
      <protection locked="0"/>
    </xf>
    <xf numFmtId="0" fontId="2" fillId="8" borderId="0" xfId="0" applyFont="1" applyFill="1" applyBorder="1" applyAlignment="1">
      <alignment horizontal="center" wrapText="1" shrinkToFit="1"/>
    </xf>
    <xf numFmtId="0" fontId="2" fillId="8" borderId="11" xfId="0" applyFont="1" applyFill="1" applyBorder="1" applyAlignment="1">
      <alignment horizontal="center" wrapText="1" shrinkToFit="1"/>
    </xf>
    <xf numFmtId="0" fontId="0" fillId="0" borderId="10" xfId="0" applyBorder="1" applyAlignment="1">
      <alignment horizontal="center"/>
    </xf>
    <xf numFmtId="0" fontId="0" fillId="0" borderId="11" xfId="0" applyBorder="1" applyAlignment="1">
      <alignment horizontal="center"/>
    </xf>
    <xf numFmtId="0" fontId="0" fillId="41" borderId="51" xfId="0" applyFill="1" applyBorder="1" applyAlignment="1" applyProtection="1">
      <alignment horizontal="center"/>
      <protection locked="0"/>
    </xf>
    <xf numFmtId="0" fontId="0" fillId="41" borderId="76" xfId="0" applyFill="1" applyBorder="1" applyAlignment="1" applyProtection="1">
      <alignment horizontal="center"/>
      <protection locked="0"/>
    </xf>
    <xf numFmtId="0" fontId="0" fillId="0" borderId="0" xfId="0" applyFill="1" applyBorder="1" applyAlignment="1">
      <alignment horizontal="right" vertical="center"/>
    </xf>
    <xf numFmtId="0" fontId="10" fillId="32" borderId="8" xfId="0" applyFont="1" applyFill="1" applyBorder="1" applyAlignment="1">
      <alignment horizontal="center" wrapText="1"/>
    </xf>
    <xf numFmtId="0" fontId="10" fillId="32" borderId="0" xfId="0" applyFont="1" applyFill="1" applyBorder="1" applyAlignment="1">
      <alignment horizontal="center" wrapText="1"/>
    </xf>
    <xf numFmtId="0" fontId="32" fillId="0" borderId="0" xfId="0" applyFont="1" applyAlignment="1">
      <alignment horizontal="center" wrapText="1"/>
    </xf>
    <xf numFmtId="2" fontId="1" fillId="0" borderId="0" xfId="0" applyNumberFormat="1" applyFont="1" applyAlignment="1">
      <alignment horizontal="center"/>
    </xf>
    <xf numFmtId="0" fontId="0" fillId="0" borderId="3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6" fillId="0" borderId="81" xfId="0" applyFont="1" applyBorder="1" applyAlignment="1">
      <alignment horizontal="center" vertical="center" wrapText="1"/>
    </xf>
    <xf numFmtId="0" fontId="6" fillId="0" borderId="0" xfId="0" applyFont="1" applyAlignment="1">
      <alignment horizontal="center" vertical="center" wrapText="1"/>
    </xf>
    <xf numFmtId="0" fontId="0" fillId="28" borderId="79" xfId="0" applyFill="1" applyBorder="1" applyAlignment="1">
      <alignment horizontal="center" vertical="center"/>
    </xf>
    <xf numFmtId="0" fontId="0" fillId="28" borderId="80" xfId="0" applyFill="1" applyBorder="1" applyAlignment="1">
      <alignment horizontal="center" vertical="center"/>
    </xf>
    <xf numFmtId="0" fontId="26" fillId="0" borderId="42" xfId="0" applyFont="1" applyBorder="1" applyAlignment="1">
      <alignment horizontal="left" vertical="center"/>
    </xf>
    <xf numFmtId="0" fontId="0" fillId="0" borderId="43" xfId="0" applyBorder="1" applyAlignment="1">
      <alignment horizontal="center" vertical="center"/>
    </xf>
    <xf numFmtId="0" fontId="13" fillId="24" borderId="0" xfId="0" applyFont="1" applyFill="1"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xf>
    <xf numFmtId="0" fontId="2" fillId="5" borderId="3" xfId="0" applyFont="1" applyFill="1" applyBorder="1" applyAlignment="1">
      <alignment horizontal="right"/>
    </xf>
    <xf numFmtId="0" fontId="2" fillId="5" borderId="5" xfId="0" applyFont="1" applyFill="1" applyBorder="1" applyAlignment="1">
      <alignment horizontal="right"/>
    </xf>
    <xf numFmtId="0" fontId="2" fillId="5" borderId="4" xfId="0" applyFont="1" applyFill="1" applyBorder="1" applyAlignment="1">
      <alignment horizontal="right"/>
    </xf>
    <xf numFmtId="0" fontId="0" fillId="5" borderId="3" xfId="0" applyFill="1" applyBorder="1" applyAlignment="1">
      <alignment horizontal="right"/>
    </xf>
    <xf numFmtId="0" fontId="0" fillId="5" borderId="5" xfId="0" applyFill="1" applyBorder="1" applyAlignment="1">
      <alignment horizontal="right"/>
    </xf>
    <xf numFmtId="0" fontId="0" fillId="5" borderId="4" xfId="0" applyFill="1" applyBorder="1" applyAlignment="1">
      <alignment horizontal="right"/>
    </xf>
    <xf numFmtId="0" fontId="4" fillId="5" borderId="3" xfId="0" applyFont="1" applyFill="1" applyBorder="1" applyAlignment="1">
      <alignment horizontal="center"/>
    </xf>
    <xf numFmtId="0" fontId="4" fillId="5" borderId="5" xfId="0" applyFont="1" applyFill="1" applyBorder="1" applyAlignment="1">
      <alignment horizontal="center"/>
    </xf>
    <xf numFmtId="0" fontId="4" fillId="5" borderId="4" xfId="0" applyFont="1" applyFill="1" applyBorder="1" applyAlignment="1">
      <alignment horizontal="center"/>
    </xf>
    <xf numFmtId="0" fontId="1" fillId="41" borderId="7" xfId="0" applyFont="1" applyFill="1" applyBorder="1" applyAlignment="1" applyProtection="1">
      <alignment horizontal="center" vertical="center"/>
      <protection locked="0"/>
    </xf>
    <xf numFmtId="0" fontId="1" fillId="41" borderId="9" xfId="0" applyFont="1" applyFill="1" applyBorder="1" applyAlignment="1" applyProtection="1">
      <alignment horizontal="center" vertical="center"/>
      <protection locked="0"/>
    </xf>
    <xf numFmtId="0" fontId="1" fillId="41" borderId="12" xfId="0" applyFont="1" applyFill="1" applyBorder="1" applyAlignment="1" applyProtection="1">
      <alignment horizontal="center" vertical="center"/>
      <protection locked="0"/>
    </xf>
    <xf numFmtId="0" fontId="1" fillId="41" borderId="14" xfId="0" applyFont="1" applyFill="1" applyBorder="1" applyAlignment="1" applyProtection="1">
      <alignment horizontal="center" vertical="center"/>
      <protection locked="0"/>
    </xf>
    <xf numFmtId="0" fontId="0" fillId="8" borderId="3" xfId="0" applyFill="1" applyBorder="1" applyAlignment="1">
      <alignment horizontal="center"/>
    </xf>
    <xf numFmtId="0" fontId="0" fillId="8" borderId="5" xfId="0" applyFill="1" applyBorder="1" applyAlignment="1">
      <alignment horizontal="center"/>
    </xf>
    <xf numFmtId="0" fontId="0" fillId="8" borderId="4" xfId="0" applyFill="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0" fontId="2" fillId="8" borderId="4" xfId="0" applyFont="1" applyFill="1" applyBorder="1" applyAlignment="1">
      <alignment horizontal="center"/>
    </xf>
    <xf numFmtId="0" fontId="2" fillId="18" borderId="0" xfId="0" applyFont="1" applyFill="1" applyAlignment="1">
      <alignment horizontal="center" vertical="center" wrapText="1"/>
    </xf>
    <xf numFmtId="0" fontId="45" fillId="12" borderId="7" xfId="0" applyFont="1" applyFill="1" applyBorder="1" applyAlignment="1">
      <alignment horizontal="center"/>
    </xf>
    <xf numFmtId="0" fontId="45" fillId="12" borderId="8" xfId="0" applyFont="1" applyFill="1" applyBorder="1" applyAlignment="1">
      <alignment horizontal="center"/>
    </xf>
    <xf numFmtId="0" fontId="45" fillId="12" borderId="9" xfId="0" applyFont="1" applyFill="1" applyBorder="1" applyAlignment="1">
      <alignment horizontal="center"/>
    </xf>
    <xf numFmtId="0" fontId="45" fillId="12" borderId="3" xfId="0" applyFont="1" applyFill="1" applyBorder="1" applyAlignment="1">
      <alignment horizontal="center"/>
    </xf>
    <xf numFmtId="0" fontId="45" fillId="12" borderId="5" xfId="0" applyFont="1" applyFill="1" applyBorder="1" applyAlignment="1">
      <alignment horizontal="center"/>
    </xf>
    <xf numFmtId="0" fontId="45" fillId="12" borderId="4" xfId="0" applyFont="1" applyFill="1" applyBorder="1" applyAlignment="1">
      <alignment horizontal="center"/>
    </xf>
    <xf numFmtId="0" fontId="45" fillId="12" borderId="12" xfId="0" applyFont="1" applyFill="1" applyBorder="1" applyAlignment="1">
      <alignment horizontal="center"/>
    </xf>
    <xf numFmtId="0" fontId="45" fillId="12" borderId="13" xfId="0" applyFont="1" applyFill="1" applyBorder="1" applyAlignment="1">
      <alignment horizontal="center"/>
    </xf>
    <xf numFmtId="0" fontId="45" fillId="12" borderId="14" xfId="0" applyFont="1" applyFill="1" applyBorder="1" applyAlignment="1">
      <alignment horizontal="center"/>
    </xf>
    <xf numFmtId="0" fontId="0" fillId="36" borderId="0" xfId="0" applyFill="1" applyAlignment="1">
      <alignment horizontal="center"/>
    </xf>
    <xf numFmtId="0" fontId="0" fillId="36" borderId="0" xfId="0" applyFill="1" applyAlignment="1">
      <alignment horizontal="right"/>
    </xf>
    <xf numFmtId="0" fontId="1" fillId="28" borderId="0" xfId="0" applyFont="1" applyFill="1" applyBorder="1" applyAlignment="1">
      <alignment horizontal="center"/>
    </xf>
    <xf numFmtId="0" fontId="56" fillId="12" borderId="15" xfId="0" applyFont="1" applyFill="1" applyBorder="1" applyAlignment="1" applyProtection="1">
      <alignment horizontal="center" vertical="center"/>
      <protection locked="0"/>
    </xf>
    <xf numFmtId="0" fontId="56" fillId="12" borderId="17" xfId="0" applyFont="1" applyFill="1" applyBorder="1" applyAlignment="1" applyProtection="1">
      <alignment horizontal="center" vertical="center"/>
      <protection locked="0"/>
    </xf>
    <xf numFmtId="0" fontId="35" fillId="28" borderId="0" xfId="0" applyFont="1" applyFill="1" applyBorder="1" applyAlignment="1">
      <alignment horizontal="left"/>
    </xf>
    <xf numFmtId="0" fontId="0" fillId="36" borderId="0" xfId="0" applyFill="1" applyAlignment="1">
      <alignment horizontal="center" vertical="center"/>
    </xf>
    <xf numFmtId="0" fontId="8" fillId="6" borderId="15"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protection locked="0"/>
    </xf>
    <xf numFmtId="0" fontId="1" fillId="28" borderId="10" xfId="0" applyFont="1" applyFill="1" applyBorder="1" applyAlignment="1">
      <alignment horizontal="left" vertical="center"/>
    </xf>
    <xf numFmtId="0" fontId="1" fillId="28" borderId="0" xfId="0" applyFont="1" applyFill="1" applyBorder="1" applyAlignment="1">
      <alignment horizontal="left" vertical="center"/>
    </xf>
    <xf numFmtId="0" fontId="4" fillId="36" borderId="10" xfId="0" applyFont="1" applyFill="1" applyBorder="1" applyAlignment="1">
      <alignment horizontal="left" vertical="center"/>
    </xf>
    <xf numFmtId="0" fontId="22" fillId="20" borderId="15" xfId="0" applyFont="1" applyFill="1" applyBorder="1" applyAlignment="1">
      <alignment horizontal="center" vertical="center"/>
    </xf>
    <xf numFmtId="0" fontId="22" fillId="20" borderId="17" xfId="0" applyFont="1" applyFill="1" applyBorder="1" applyAlignment="1">
      <alignment horizontal="center" vertical="center"/>
    </xf>
    <xf numFmtId="0" fontId="0" fillId="36" borderId="0" xfId="0" applyFill="1" applyAlignment="1">
      <alignment horizontal="left" vertical="center"/>
    </xf>
    <xf numFmtId="0" fontId="11" fillId="7" borderId="0" xfId="0" applyFont="1" applyFill="1" applyAlignment="1">
      <alignment horizontal="center"/>
    </xf>
    <xf numFmtId="0" fontId="0" fillId="14" borderId="3" xfId="0" applyFill="1" applyBorder="1" applyAlignment="1">
      <alignment horizontal="center"/>
    </xf>
    <xf numFmtId="0" fontId="0" fillId="14" borderId="5" xfId="0" applyFill="1" applyBorder="1" applyAlignment="1">
      <alignment horizontal="center"/>
    </xf>
    <xf numFmtId="0" fontId="0" fillId="14" borderId="4" xfId="0" applyFill="1" applyBorder="1" applyAlignment="1">
      <alignment horizontal="center"/>
    </xf>
    <xf numFmtId="0" fontId="0" fillId="3" borderId="0" xfId="0" applyFill="1" applyAlignment="1">
      <alignment horizontal="left"/>
    </xf>
    <xf numFmtId="0" fontId="0" fillId="3" borderId="0" xfId="0" applyFill="1" applyAlignment="1">
      <alignment horizontal="center" vertical="center" wrapText="1"/>
    </xf>
    <xf numFmtId="0" fontId="0" fillId="16" borderId="0" xfId="0" applyFill="1" applyBorder="1" applyAlignment="1">
      <alignment horizontal="center"/>
    </xf>
    <xf numFmtId="0" fontId="0" fillId="36" borderId="0" xfId="0" applyFill="1" applyBorder="1" applyAlignment="1">
      <alignment horizontal="center"/>
    </xf>
    <xf numFmtId="0" fontId="37" fillId="16" borderId="0" xfId="0" applyFont="1" applyFill="1" applyAlignment="1">
      <alignment horizontal="center" vertical="center" wrapText="1" shrinkToFit="1"/>
    </xf>
    <xf numFmtId="0" fontId="0" fillId="35" borderId="7" xfId="0" applyFill="1" applyBorder="1" applyAlignment="1">
      <alignment horizontal="center" vertical="center"/>
    </xf>
    <xf numFmtId="0" fontId="0" fillId="35" borderId="9" xfId="0" applyFill="1" applyBorder="1" applyAlignment="1">
      <alignment horizontal="center" vertical="center"/>
    </xf>
    <xf numFmtId="0" fontId="0" fillId="35" borderId="12" xfId="0" applyFill="1" applyBorder="1" applyAlignment="1">
      <alignment horizontal="center" vertical="center"/>
    </xf>
    <xf numFmtId="0" fontId="0" fillId="35" borderId="14" xfId="0" applyFill="1" applyBorder="1" applyAlignment="1">
      <alignment horizontal="center" vertical="center"/>
    </xf>
    <xf numFmtId="0" fontId="0" fillId="35" borderId="3" xfId="0" applyFill="1" applyBorder="1" applyAlignment="1">
      <alignment horizontal="center" vertical="center"/>
    </xf>
    <xf numFmtId="0" fontId="0" fillId="35" borderId="4" xfId="0" applyFill="1" applyBorder="1" applyAlignment="1">
      <alignment horizontal="center" vertical="center"/>
    </xf>
    <xf numFmtId="0" fontId="38" fillId="36" borderId="0" xfId="0" applyFont="1" applyFill="1" applyAlignment="1">
      <alignment horizontal="center" vertical="center" wrapText="1" shrinkToFit="1"/>
    </xf>
    <xf numFmtId="0" fontId="8" fillId="41" borderId="15" xfId="0" applyFont="1" applyFill="1" applyBorder="1" applyAlignment="1" applyProtection="1">
      <alignment horizontal="center" vertical="center"/>
      <protection locked="0"/>
    </xf>
    <xf numFmtId="0" fontId="8" fillId="41" borderId="17" xfId="0" applyFont="1" applyFill="1" applyBorder="1" applyAlignment="1" applyProtection="1">
      <alignment horizontal="center" vertical="center"/>
      <protection locked="0"/>
    </xf>
    <xf numFmtId="0" fontId="11" fillId="12" borderId="0" xfId="0" applyFont="1" applyFill="1" applyAlignment="1">
      <alignment horizont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3" fillId="19" borderId="0" xfId="0" applyFont="1" applyFill="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5" borderId="0" xfId="0" applyFill="1" applyAlignment="1">
      <alignment horizontal="center" wrapText="1"/>
    </xf>
    <xf numFmtId="0" fontId="0" fillId="5" borderId="0" xfId="0" applyFill="1" applyAlignment="1">
      <alignment horizontal="center" vertical="center" wrapText="1"/>
    </xf>
    <xf numFmtId="0" fontId="31" fillId="29" borderId="0" xfId="0" applyFont="1" applyFill="1" applyAlignment="1">
      <alignment horizontal="center"/>
    </xf>
    <xf numFmtId="0" fontId="27" fillId="0" borderId="0" xfId="2" applyAlignment="1" applyProtection="1">
      <alignment horizontal="center"/>
    </xf>
    <xf numFmtId="0" fontId="0" fillId="0" borderId="0" xfId="0"/>
    <xf numFmtId="0" fontId="4" fillId="0" borderId="0" xfId="0" applyFont="1" applyAlignment="1">
      <alignment horizontal="center" vertical="center" wrapText="1"/>
    </xf>
    <xf numFmtId="0" fontId="4" fillId="29" borderId="0" xfId="0" applyFont="1" applyFill="1" applyAlignment="1">
      <alignment horizontal="center" vertical="center" wrapText="1"/>
    </xf>
    <xf numFmtId="0" fontId="29" fillId="29" borderId="0" xfId="0" applyFont="1" applyFill="1" applyAlignment="1">
      <alignment horizontal="left" vertical="center" wrapText="1" shrinkToFit="1"/>
    </xf>
    <xf numFmtId="0" fontId="29" fillId="29" borderId="0" xfId="0" applyFont="1" applyFill="1" applyAlignment="1">
      <alignment horizontal="left" wrapText="1" shrinkToFit="1"/>
    </xf>
    <xf numFmtId="0" fontId="43" fillId="42" borderId="0" xfId="0" applyFont="1" applyFill="1" applyBorder="1" applyAlignment="1" applyProtection="1">
      <alignment horizontal="right" vertical="top" wrapText="1"/>
    </xf>
    <xf numFmtId="49" fontId="43" fillId="42" borderId="0" xfId="0" applyNumberFormat="1" applyFont="1" applyFill="1" applyBorder="1" applyAlignment="1" applyProtection="1">
      <alignment horizontal="left" vertical="top" wrapText="1"/>
    </xf>
    <xf numFmtId="49" fontId="43" fillId="42" borderId="73" xfId="0" applyNumberFormat="1" applyFont="1" applyFill="1" applyBorder="1" applyAlignment="1" applyProtection="1">
      <alignment horizontal="left" vertical="top" wrapText="1"/>
    </xf>
    <xf numFmtId="0" fontId="2" fillId="4" borderId="89" xfId="0" applyFont="1" applyFill="1" applyBorder="1" applyAlignment="1">
      <alignment horizontal="center"/>
    </xf>
    <xf numFmtId="0" fontId="2" fillId="4" borderId="89" xfId="0" applyFont="1" applyFill="1" applyBorder="1" applyAlignment="1">
      <alignment horizontal="center" vertical="center"/>
    </xf>
    <xf numFmtId="0" fontId="0" fillId="4" borderId="89" xfId="0" applyFill="1" applyBorder="1" applyAlignment="1">
      <alignment horizontal="center"/>
    </xf>
    <xf numFmtId="0" fontId="19" fillId="6" borderId="0" xfId="0" applyFont="1" applyFill="1" applyAlignment="1">
      <alignment horizontal="center"/>
    </xf>
    <xf numFmtId="0" fontId="2" fillId="4" borderId="88" xfId="0" applyFont="1" applyFill="1" applyBorder="1" applyAlignment="1">
      <alignment horizontal="center"/>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35" fillId="0" borderId="0" xfId="0" applyFont="1" applyAlignment="1">
      <alignment horizontal="center" vertical="center"/>
    </xf>
    <xf numFmtId="0" fontId="4" fillId="0" borderId="0" xfId="0" applyFont="1" applyAlignment="1">
      <alignment horizontal="center" vertical="center"/>
    </xf>
    <xf numFmtId="0" fontId="69" fillId="40" borderId="0" xfId="0" applyFont="1" applyFill="1" applyAlignment="1">
      <alignment horizontal="center"/>
    </xf>
    <xf numFmtId="0" fontId="19" fillId="10" borderId="0" xfId="0" applyFont="1" applyFill="1" applyAlignment="1">
      <alignment horizontal="center"/>
    </xf>
    <xf numFmtId="0" fontId="1" fillId="6" borderId="15" xfId="0" applyFont="1" applyFill="1" applyBorder="1" applyAlignment="1" applyProtection="1">
      <alignment horizontal="center" vertical="center"/>
      <protection locked="0"/>
    </xf>
    <xf numFmtId="0" fontId="1" fillId="6" borderId="17" xfId="0" applyFont="1" applyFill="1" applyBorder="1" applyAlignment="1" applyProtection="1">
      <alignment horizontal="center" vertical="center"/>
      <protection locked="0"/>
    </xf>
    <xf numFmtId="0" fontId="19" fillId="0" borderId="10" xfId="0" applyFont="1" applyBorder="1" applyAlignment="1">
      <alignment vertical="center"/>
    </xf>
    <xf numFmtId="0" fontId="67" fillId="0" borderId="0" xfId="0" applyFont="1" applyAlignment="1">
      <alignment horizontal="left" vertical="top" wrapText="1"/>
    </xf>
  </cellXfs>
  <cellStyles count="4">
    <cellStyle name="Lien hypertexte" xfId="2" builtinId="8"/>
    <cellStyle name="Milliers" xfId="1" builtinId="3"/>
    <cellStyle name="Normal" xfId="0" builtinId="0"/>
    <cellStyle name="Normal_Ontzuring doorgedreven dubbelzoutmethode" xfId="3"/>
  </cellStyles>
  <dxfs count="5">
    <dxf>
      <font>
        <color rgb="FFFFCC99"/>
      </font>
    </dxf>
    <dxf>
      <font>
        <color theme="0"/>
      </font>
      <fill>
        <patternFill>
          <bgColor theme="0"/>
        </patternFill>
      </fill>
    </dxf>
    <dxf>
      <font>
        <color theme="0"/>
      </font>
    </dxf>
    <dxf>
      <font>
        <color rgb="FFFF0000"/>
      </font>
      <fill>
        <patternFill>
          <bgColor theme="6" tint="0.59996337778862885"/>
        </patternFill>
      </fill>
    </dxf>
    <dxf>
      <font>
        <color rgb="FF9C0006"/>
      </font>
      <fill>
        <patternFill>
          <bgColor rgb="FFFFC7CE"/>
        </patternFill>
      </fill>
    </dxf>
  </dxfs>
  <tableStyles count="0" defaultTableStyle="TableStyleMedium9" defaultPivotStyle="PivotStyleLight16"/>
  <colors>
    <mruColors>
      <color rgb="FF99FF99"/>
      <color rgb="FFFFCC99"/>
      <color rgb="FFFC4646"/>
      <color rgb="FFFFFFCC"/>
      <color rgb="FFCCCC00"/>
      <color rgb="FF0000FF"/>
      <color rgb="FFFF0066"/>
      <color rgb="FFFF0000"/>
      <color rgb="FFCCECFF"/>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ctrlProps/ctrlProp1.xml><?xml version="1.0" encoding="utf-8"?>
<formControlPr xmlns="http://schemas.microsoft.com/office/spreadsheetml/2009/9/main" objectType="Drop" dropStyle="combo" dx="16" fmlaLink="$D$33" fmlaRange="$A$27:$C$56" noThreeD="1" sel="20" val="12"/>
</file>

<file path=xl/ctrlProps/ctrlProp2.xml><?xml version="1.0" encoding="utf-8"?>
<formControlPr xmlns="http://schemas.microsoft.com/office/spreadsheetml/2009/9/main" objectType="Drop" dropStyle="combo" dx="16" fmlaLink="$C$8" fmlaRange="$B$48:$B$198" sel="54" val="51"/>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64557</xdr:colOff>
      <xdr:row>4</xdr:row>
      <xdr:rowOff>14814</xdr:rowOff>
    </xdr:from>
    <xdr:to>
      <xdr:col>16</xdr:col>
      <xdr:colOff>883708</xdr:colOff>
      <xdr:row>5</xdr:row>
      <xdr:rowOff>17976</xdr:rowOff>
    </xdr:to>
    <xdr:sp macro="" textlink="">
      <xdr:nvSpPr>
        <xdr:cNvPr id="16" name="ZoneTexte 15"/>
        <xdr:cNvSpPr txBox="1"/>
      </xdr:nvSpPr>
      <xdr:spPr>
        <a:xfrm>
          <a:off x="5906557" y="983189"/>
          <a:ext cx="819151" cy="201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endParaRPr lang="fr-FR" sz="1100"/>
        </a:p>
      </xdr:txBody>
    </xdr:sp>
    <xdr:clientData/>
  </xdr:twoCellAnchor>
  <xdr:twoCellAnchor>
    <xdr:from>
      <xdr:col>16</xdr:col>
      <xdr:colOff>35987</xdr:colOff>
      <xdr:row>3</xdr:row>
      <xdr:rowOff>94192</xdr:rowOff>
    </xdr:from>
    <xdr:to>
      <xdr:col>16</xdr:col>
      <xdr:colOff>612780</xdr:colOff>
      <xdr:row>4</xdr:row>
      <xdr:rowOff>200025</xdr:rowOff>
    </xdr:to>
    <xdr:sp macro="" textlink="">
      <xdr:nvSpPr>
        <xdr:cNvPr id="5" name="ZoneTexte 4"/>
        <xdr:cNvSpPr txBox="1"/>
      </xdr:nvSpPr>
      <xdr:spPr>
        <a:xfrm>
          <a:off x="5867404" y="972609"/>
          <a:ext cx="576793" cy="2010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l"/>
          <a:r>
            <a:rPr lang="fr-FR" sz="1100"/>
            <a:t>Sachet(s)</a:t>
          </a:r>
        </a:p>
      </xdr:txBody>
    </xdr:sp>
    <xdr:clientData/>
  </xdr:twoCellAnchor>
  <xdr:twoCellAnchor>
    <xdr:from>
      <xdr:col>2</xdr:col>
      <xdr:colOff>400050</xdr:colOff>
      <xdr:row>2</xdr:row>
      <xdr:rowOff>47625</xdr:rowOff>
    </xdr:from>
    <xdr:to>
      <xdr:col>3</xdr:col>
      <xdr:colOff>0</xdr:colOff>
      <xdr:row>2</xdr:row>
      <xdr:rowOff>209551</xdr:rowOff>
    </xdr:to>
    <xdr:sp macro="" textlink="">
      <xdr:nvSpPr>
        <xdr:cNvPr id="6" name="ZoneTexte 5"/>
        <xdr:cNvSpPr txBox="1"/>
      </xdr:nvSpPr>
      <xdr:spPr>
        <a:xfrm>
          <a:off x="1600200" y="676275"/>
          <a:ext cx="85725"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200"/>
            <a:t>L</a:t>
          </a:r>
        </a:p>
      </xdr:txBody>
    </xdr:sp>
    <xdr:clientData/>
  </xdr:twoCellAnchor>
  <xdr:twoCellAnchor>
    <xdr:from>
      <xdr:col>4</xdr:col>
      <xdr:colOff>342900</xdr:colOff>
      <xdr:row>0</xdr:row>
      <xdr:rowOff>57150</xdr:rowOff>
    </xdr:from>
    <xdr:to>
      <xdr:col>6</xdr:col>
      <xdr:colOff>285750</xdr:colOff>
      <xdr:row>0</xdr:row>
      <xdr:rowOff>257175</xdr:rowOff>
    </xdr:to>
    <xdr:sp macro="" textlink="">
      <xdr:nvSpPr>
        <xdr:cNvPr id="7" name="ZoneTexte 6"/>
        <xdr:cNvSpPr txBox="1"/>
      </xdr:nvSpPr>
      <xdr:spPr>
        <a:xfrm>
          <a:off x="2209800" y="57150"/>
          <a:ext cx="676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200"/>
            <a:t>Vin de</a:t>
          </a:r>
        </a:p>
      </xdr:txBody>
    </xdr:sp>
    <xdr:clientData/>
  </xdr:twoCellAnchor>
  <xdr:twoCellAnchor>
    <xdr:from>
      <xdr:col>2</xdr:col>
      <xdr:colOff>238125</xdr:colOff>
      <xdr:row>1</xdr:row>
      <xdr:rowOff>85725</xdr:rowOff>
    </xdr:from>
    <xdr:to>
      <xdr:col>3</xdr:col>
      <xdr:colOff>0</xdr:colOff>
      <xdr:row>1</xdr:row>
      <xdr:rowOff>257175</xdr:rowOff>
    </xdr:to>
    <xdr:sp macro="" textlink="">
      <xdr:nvSpPr>
        <xdr:cNvPr id="8" name="ZoneTexte 7"/>
        <xdr:cNvSpPr txBox="1"/>
      </xdr:nvSpPr>
      <xdr:spPr>
        <a:xfrm>
          <a:off x="1438275" y="390525"/>
          <a:ext cx="2476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BE" sz="1100"/>
            <a:t>Kg </a:t>
          </a:r>
        </a:p>
      </xdr:txBody>
    </xdr:sp>
    <xdr:clientData/>
  </xdr:twoCellAnchor>
  <xdr:twoCellAnchor>
    <xdr:from>
      <xdr:col>9</xdr:col>
      <xdr:colOff>9525</xdr:colOff>
      <xdr:row>10</xdr:row>
      <xdr:rowOff>180975</xdr:rowOff>
    </xdr:from>
    <xdr:to>
      <xdr:col>10</xdr:col>
      <xdr:colOff>0</xdr:colOff>
      <xdr:row>10</xdr:row>
      <xdr:rowOff>476250</xdr:rowOff>
    </xdr:to>
    <xdr:sp macro="" textlink="">
      <xdr:nvSpPr>
        <xdr:cNvPr id="9" name="Rectangle 8"/>
        <xdr:cNvSpPr/>
      </xdr:nvSpPr>
      <xdr:spPr>
        <a:xfrm>
          <a:off x="3505200" y="2486025"/>
          <a:ext cx="57150" cy="295275"/>
        </a:xfrm>
        <a:prstGeom prst="rect">
          <a:avLst/>
        </a:prstGeom>
        <a:solidFill>
          <a:schemeClr val="bg1">
            <a:lumMod val="85000"/>
          </a:schemeClr>
        </a:solidFill>
        <a:ln w="28575">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6</xdr:col>
      <xdr:colOff>57150</xdr:colOff>
      <xdr:row>10</xdr:row>
      <xdr:rowOff>219074</xdr:rowOff>
    </xdr:from>
    <xdr:to>
      <xdr:col>8</xdr:col>
      <xdr:colOff>400050</xdr:colOff>
      <xdr:row>10</xdr:row>
      <xdr:rowOff>304799</xdr:rowOff>
    </xdr:to>
    <xdr:sp macro="" textlink="">
      <xdr:nvSpPr>
        <xdr:cNvPr id="10" name="ZoneTexte 9"/>
        <xdr:cNvSpPr txBox="1"/>
      </xdr:nvSpPr>
      <xdr:spPr>
        <a:xfrm>
          <a:off x="2266950" y="2571749"/>
          <a:ext cx="981075"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000" b="1">
              <a:solidFill>
                <a:srgbClr val="FF0000"/>
              </a:solidFill>
            </a:rPr>
            <a:t>Monter</a:t>
          </a:r>
        </a:p>
      </xdr:txBody>
    </xdr:sp>
    <xdr:clientData/>
  </xdr:twoCellAnchor>
  <xdr:twoCellAnchor>
    <xdr:from>
      <xdr:col>8</xdr:col>
      <xdr:colOff>352425</xdr:colOff>
      <xdr:row>10</xdr:row>
      <xdr:rowOff>219075</xdr:rowOff>
    </xdr:from>
    <xdr:to>
      <xdr:col>12</xdr:col>
      <xdr:colOff>123825</xdr:colOff>
      <xdr:row>10</xdr:row>
      <xdr:rowOff>304800</xdr:rowOff>
    </xdr:to>
    <xdr:sp macro="" textlink="">
      <xdr:nvSpPr>
        <xdr:cNvPr id="12" name="ZoneTexte 11"/>
        <xdr:cNvSpPr txBox="1"/>
      </xdr:nvSpPr>
      <xdr:spPr>
        <a:xfrm>
          <a:off x="3200400" y="2571750"/>
          <a:ext cx="1028700" cy="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000" b="1">
              <a:solidFill>
                <a:srgbClr val="FF0000"/>
              </a:solidFill>
            </a:rPr>
            <a:t>Descendre</a:t>
          </a:r>
        </a:p>
      </xdr:txBody>
    </xdr:sp>
    <xdr:clientData/>
  </xdr:twoCellAnchor>
  <xdr:twoCellAnchor>
    <xdr:from>
      <xdr:col>2</xdr:col>
      <xdr:colOff>400050</xdr:colOff>
      <xdr:row>4</xdr:row>
      <xdr:rowOff>0</xdr:rowOff>
    </xdr:from>
    <xdr:to>
      <xdr:col>3</xdr:col>
      <xdr:colOff>0</xdr:colOff>
      <xdr:row>4</xdr:row>
      <xdr:rowOff>161926</xdr:rowOff>
    </xdr:to>
    <xdr:sp macro="" textlink="">
      <xdr:nvSpPr>
        <xdr:cNvPr id="11" name="ZoneTexte 10"/>
        <xdr:cNvSpPr txBox="1"/>
      </xdr:nvSpPr>
      <xdr:spPr>
        <a:xfrm>
          <a:off x="1600200" y="971550"/>
          <a:ext cx="85725"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200"/>
            <a:t>L</a:t>
          </a:r>
        </a:p>
      </xdr:txBody>
    </xdr:sp>
    <xdr:clientData/>
  </xdr:twoCellAnchor>
  <xdr:twoCellAnchor>
    <xdr:from>
      <xdr:col>10</xdr:col>
      <xdr:colOff>465666</xdr:colOff>
      <xdr:row>4</xdr:row>
      <xdr:rowOff>10584</xdr:rowOff>
    </xdr:from>
    <xdr:to>
      <xdr:col>11</xdr:col>
      <xdr:colOff>10583</xdr:colOff>
      <xdr:row>4</xdr:row>
      <xdr:rowOff>190500</xdr:rowOff>
    </xdr:to>
    <xdr:sp macro="" textlink="">
      <xdr:nvSpPr>
        <xdr:cNvPr id="2" name="ZoneTexte 1"/>
        <xdr:cNvSpPr txBox="1"/>
      </xdr:nvSpPr>
      <xdr:spPr>
        <a:xfrm>
          <a:off x="3862916" y="984251"/>
          <a:ext cx="201084"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BE" sz="1100"/>
            <a:t>Gr</a:t>
          </a:r>
        </a:p>
      </xdr:txBody>
    </xdr:sp>
    <xdr:clientData/>
  </xdr:twoCellAnchor>
  <xdr:twoCellAnchor>
    <xdr:from>
      <xdr:col>16</xdr:col>
      <xdr:colOff>619125</xdr:colOff>
      <xdr:row>4</xdr:row>
      <xdr:rowOff>0</xdr:rowOff>
    </xdr:from>
    <xdr:to>
      <xdr:col>16</xdr:col>
      <xdr:colOff>1676401</xdr:colOff>
      <xdr:row>5</xdr:row>
      <xdr:rowOff>19050</xdr:rowOff>
    </xdr:to>
    <xdr:sp macro="" textlink="">
      <xdr:nvSpPr>
        <xdr:cNvPr id="13" name="ZoneTexte 12"/>
        <xdr:cNvSpPr txBox="1"/>
      </xdr:nvSpPr>
      <xdr:spPr>
        <a:xfrm>
          <a:off x="6461125" y="968375"/>
          <a:ext cx="1057276" cy="2174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fr-FR" sz="1100"/>
            <a:t>Sels</a:t>
          </a:r>
          <a:r>
            <a:rPr lang="fr-FR" sz="1100" baseline="0"/>
            <a:t> nutritifs</a:t>
          </a:r>
          <a:endParaRPr lang="fr-FR" sz="1100"/>
        </a:p>
      </xdr:txBody>
    </xdr:sp>
    <xdr:clientData/>
  </xdr:twoCellAnchor>
  <xdr:twoCellAnchor>
    <xdr:from>
      <xdr:col>16</xdr:col>
      <xdr:colOff>2076450</xdr:colOff>
      <xdr:row>4</xdr:row>
      <xdr:rowOff>0</xdr:rowOff>
    </xdr:from>
    <xdr:to>
      <xdr:col>16</xdr:col>
      <xdr:colOff>2495550</xdr:colOff>
      <xdr:row>4</xdr:row>
      <xdr:rowOff>190500</xdr:rowOff>
    </xdr:to>
    <xdr:sp macro="" textlink="">
      <xdr:nvSpPr>
        <xdr:cNvPr id="15" name="ZoneTexte 14"/>
        <xdr:cNvSpPr txBox="1"/>
      </xdr:nvSpPr>
      <xdr:spPr>
        <a:xfrm>
          <a:off x="7896225" y="971550"/>
          <a:ext cx="419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BE" sz="1100"/>
            <a:t>Gr</a:t>
          </a:r>
        </a:p>
      </xdr:txBody>
    </xdr:sp>
    <xdr:clientData/>
  </xdr:twoCellAnchor>
  <xdr:twoCellAnchor>
    <xdr:from>
      <xdr:col>16</xdr:col>
      <xdr:colOff>2514599</xdr:colOff>
      <xdr:row>3</xdr:row>
      <xdr:rowOff>95248</xdr:rowOff>
    </xdr:from>
    <xdr:to>
      <xdr:col>16</xdr:col>
      <xdr:colOff>3781425</xdr:colOff>
      <xdr:row>5</xdr:row>
      <xdr:rowOff>19050</xdr:rowOff>
    </xdr:to>
    <xdr:sp macro="" textlink="">
      <xdr:nvSpPr>
        <xdr:cNvPr id="17" name="ZoneTexte 16"/>
        <xdr:cNvSpPr txBox="1"/>
      </xdr:nvSpPr>
      <xdr:spPr>
        <a:xfrm>
          <a:off x="8334374" y="971548"/>
          <a:ext cx="1266826" cy="219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fr-FR" sz="1100"/>
            <a:t>4 à 8gr par 10 L</a:t>
          </a:r>
        </a:p>
      </xdr:txBody>
    </xdr:sp>
    <xdr:clientData/>
  </xdr:twoCellAnchor>
  <xdr:twoCellAnchor>
    <xdr:from>
      <xdr:col>6</xdr:col>
      <xdr:colOff>275167</xdr:colOff>
      <xdr:row>6</xdr:row>
      <xdr:rowOff>0</xdr:rowOff>
    </xdr:from>
    <xdr:to>
      <xdr:col>8</xdr:col>
      <xdr:colOff>59267</xdr:colOff>
      <xdr:row>6</xdr:row>
      <xdr:rowOff>190500</xdr:rowOff>
    </xdr:to>
    <xdr:sp macro="" textlink="">
      <xdr:nvSpPr>
        <xdr:cNvPr id="18" name="ZoneTexte 17"/>
        <xdr:cNvSpPr txBox="1"/>
      </xdr:nvSpPr>
      <xdr:spPr>
        <a:xfrm>
          <a:off x="2508250" y="1270000"/>
          <a:ext cx="419100" cy="190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BE" sz="1100"/>
            <a:t>Gr</a:t>
          </a:r>
        </a:p>
      </xdr:txBody>
    </xdr:sp>
    <xdr:clientData/>
  </xdr:twoCellAnchor>
  <xdr:twoCellAnchor>
    <xdr:from>
      <xdr:col>10</xdr:col>
      <xdr:colOff>366182</xdr:colOff>
      <xdr:row>2</xdr:row>
      <xdr:rowOff>11642</xdr:rowOff>
    </xdr:from>
    <xdr:to>
      <xdr:col>10</xdr:col>
      <xdr:colOff>581025</xdr:colOff>
      <xdr:row>3</xdr:row>
      <xdr:rowOff>0</xdr:rowOff>
    </xdr:to>
    <xdr:sp macro="" textlink="">
      <xdr:nvSpPr>
        <xdr:cNvPr id="19" name="ZoneTexte 18"/>
        <xdr:cNvSpPr txBox="1"/>
      </xdr:nvSpPr>
      <xdr:spPr>
        <a:xfrm>
          <a:off x="3823757" y="640292"/>
          <a:ext cx="214843" cy="23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fr-BE" sz="1100"/>
            <a:t> Ml</a:t>
          </a:r>
        </a:p>
      </xdr:txBody>
    </xdr:sp>
    <xdr:clientData/>
  </xdr:twoCellAnchor>
  <xdr:twoCellAnchor>
    <xdr:from>
      <xdr:col>17</xdr:col>
      <xdr:colOff>114299</xdr:colOff>
      <xdr:row>0</xdr:row>
      <xdr:rowOff>76200</xdr:rowOff>
    </xdr:from>
    <xdr:to>
      <xdr:col>17</xdr:col>
      <xdr:colOff>695324</xdr:colOff>
      <xdr:row>11</xdr:row>
      <xdr:rowOff>9525</xdr:rowOff>
    </xdr:to>
    <xdr:sp macro="" textlink="">
      <xdr:nvSpPr>
        <xdr:cNvPr id="3" name="Accolade fermante 2"/>
        <xdr:cNvSpPr/>
      </xdr:nvSpPr>
      <xdr:spPr>
        <a:xfrm>
          <a:off x="9753599" y="76200"/>
          <a:ext cx="581025" cy="2638425"/>
        </a:xfrm>
        <a:prstGeom prst="rightBrace">
          <a:avLst>
            <a:gd name="adj1" fmla="val 8333"/>
            <a:gd name="adj2" fmla="val 13538"/>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fr-BE" sz="1100"/>
        </a:p>
      </xdr:txBody>
    </xdr:sp>
    <xdr:clientData/>
  </xdr:twoCellAnchor>
  <xdr:twoCellAnchor>
    <xdr:from>
      <xdr:col>4</xdr:col>
      <xdr:colOff>466725</xdr:colOff>
      <xdr:row>35</xdr:row>
      <xdr:rowOff>28575</xdr:rowOff>
    </xdr:from>
    <xdr:to>
      <xdr:col>6</xdr:col>
      <xdr:colOff>295275</xdr:colOff>
      <xdr:row>36</xdr:row>
      <xdr:rowOff>76200</xdr:rowOff>
    </xdr:to>
    <xdr:cxnSp macro="">
      <xdr:nvCxnSpPr>
        <xdr:cNvPr id="21" name="Connecteur droit avec flèche 20"/>
        <xdr:cNvCxnSpPr/>
      </xdr:nvCxnSpPr>
      <xdr:spPr>
        <a:xfrm>
          <a:off x="2105025" y="7353300"/>
          <a:ext cx="400050" cy="23812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57150</xdr:colOff>
      <xdr:row>34</xdr:row>
      <xdr:rowOff>19050</xdr:rowOff>
    </xdr:from>
    <xdr:to>
      <xdr:col>15</xdr:col>
      <xdr:colOff>66676</xdr:colOff>
      <xdr:row>36</xdr:row>
      <xdr:rowOff>85725</xdr:rowOff>
    </xdr:to>
    <xdr:cxnSp macro="">
      <xdr:nvCxnSpPr>
        <xdr:cNvPr id="23" name="Connecteur droit avec flèche 22"/>
        <xdr:cNvCxnSpPr/>
      </xdr:nvCxnSpPr>
      <xdr:spPr>
        <a:xfrm flipH="1">
          <a:off x="4886325" y="7153275"/>
          <a:ext cx="704851" cy="44767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280036</xdr:colOff>
      <xdr:row>5</xdr:row>
      <xdr:rowOff>83820</xdr:rowOff>
    </xdr:from>
    <xdr:to>
      <xdr:col>16</xdr:col>
      <xdr:colOff>676275</xdr:colOff>
      <xdr:row>12</xdr:row>
      <xdr:rowOff>168926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4161" y="1169670"/>
          <a:ext cx="1815464" cy="1523381"/>
        </a:xfrm>
        <a:prstGeom prst="rect">
          <a:avLst/>
        </a:prstGeom>
      </xdr:spPr>
    </xdr:pic>
    <xdr:clientData/>
  </xdr:twoCellAnchor>
  <xdr:twoCellAnchor>
    <xdr:from>
      <xdr:col>0</xdr:col>
      <xdr:colOff>447675</xdr:colOff>
      <xdr:row>14</xdr:row>
      <xdr:rowOff>36781</xdr:rowOff>
    </xdr:from>
    <xdr:to>
      <xdr:col>1</xdr:col>
      <xdr:colOff>200025</xdr:colOff>
      <xdr:row>15</xdr:row>
      <xdr:rowOff>98775</xdr:rowOff>
    </xdr:to>
    <xdr:sp macro="" textlink="">
      <xdr:nvSpPr>
        <xdr:cNvPr id="3" name="ZoneTexte 2">
          <a:extLst>
            <a:ext uri="{FF2B5EF4-FFF2-40B4-BE49-F238E27FC236}">
              <a16:creationId xmlns:a16="http://schemas.microsoft.com/office/drawing/2014/main" xmlns="" id="{16E0B69C-CE0C-4BC2-B7B2-035AF7169C21}"/>
            </a:ext>
          </a:extLst>
        </xdr:cNvPr>
        <xdr:cNvSpPr txBox="1"/>
      </xdr:nvSpPr>
      <xdr:spPr>
        <a:xfrm>
          <a:off x="447675" y="2980006"/>
          <a:ext cx="514350" cy="442994"/>
        </a:xfrm>
        <a:prstGeom prst="rect">
          <a:avLst/>
        </a:prstGeom>
        <a:solidFill>
          <a:srgbClr val="FFFF00"/>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Apth</a:t>
          </a:r>
        </a:p>
      </xdr:txBody>
    </xdr:sp>
    <xdr:clientData/>
  </xdr:twoCellAnchor>
  <xdr:twoCellAnchor>
    <xdr:from>
      <xdr:col>0</xdr:col>
      <xdr:colOff>333374</xdr:colOff>
      <xdr:row>1</xdr:row>
      <xdr:rowOff>9525</xdr:rowOff>
    </xdr:from>
    <xdr:to>
      <xdr:col>6</xdr:col>
      <xdr:colOff>390525</xdr:colOff>
      <xdr:row>24</xdr:row>
      <xdr:rowOff>133346</xdr:rowOff>
    </xdr:to>
    <xdr:grpSp>
      <xdr:nvGrpSpPr>
        <xdr:cNvPr id="4" name="Groupe 3"/>
        <xdr:cNvGrpSpPr/>
      </xdr:nvGrpSpPr>
      <xdr:grpSpPr>
        <a:xfrm>
          <a:off x="333374" y="200025"/>
          <a:ext cx="4629151" cy="4972046"/>
          <a:chOff x="476250" y="200025"/>
          <a:chExt cx="5257800" cy="4676771"/>
        </a:xfrm>
      </xdr:grpSpPr>
      <xdr:sp macro="" textlink="">
        <xdr:nvSpPr>
          <xdr:cNvPr id="5" name="Ellipse 4">
            <a:extLst>
              <a:ext uri="{FF2B5EF4-FFF2-40B4-BE49-F238E27FC236}">
                <a16:creationId xmlns:a16="http://schemas.microsoft.com/office/drawing/2014/main" xmlns="" id="{DC8C3019-8181-4D9B-9D0F-9325B931EB05}"/>
              </a:ext>
            </a:extLst>
          </xdr:cNvPr>
          <xdr:cNvSpPr/>
        </xdr:nvSpPr>
        <xdr:spPr>
          <a:xfrm>
            <a:off x="1338185" y="1165510"/>
            <a:ext cx="3542682" cy="340347"/>
          </a:xfrm>
          <a:prstGeom prst="ellipse">
            <a:avLst/>
          </a:prstGeom>
          <a:noFill/>
          <a:ln w="12700" cap="flat" cmpd="sng" algn="ctr">
            <a:solidFill>
              <a:srgbClr val="ED7D31">
                <a:lumMod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grpSp>
        <xdr:nvGrpSpPr>
          <xdr:cNvPr id="6" name="Groupe 5"/>
          <xdr:cNvGrpSpPr/>
        </xdr:nvGrpSpPr>
        <xdr:grpSpPr>
          <a:xfrm>
            <a:off x="476250" y="200025"/>
            <a:ext cx="5257800" cy="4676771"/>
            <a:chOff x="476250" y="200025"/>
            <a:chExt cx="5257800" cy="4676771"/>
          </a:xfrm>
        </xdr:grpSpPr>
        <xdr:grpSp>
          <xdr:nvGrpSpPr>
            <xdr:cNvPr id="7" name="Groupe 6">
              <a:extLst>
                <a:ext uri="{FF2B5EF4-FFF2-40B4-BE49-F238E27FC236}">
                  <a16:creationId xmlns:a16="http://schemas.microsoft.com/office/drawing/2014/main" xmlns="" id="{7EDDE13B-A049-4BB2-9FAD-EA618004530E}"/>
                </a:ext>
              </a:extLst>
            </xdr:cNvPr>
            <xdr:cNvGrpSpPr/>
          </xdr:nvGrpSpPr>
          <xdr:grpSpPr>
            <a:xfrm rot="16200000">
              <a:off x="3493264" y="-82558"/>
              <a:ext cx="1093003" cy="1677451"/>
              <a:chOff x="6470678" y="34580879"/>
              <a:chExt cx="1431242" cy="1636057"/>
            </a:xfrm>
          </xdr:grpSpPr>
          <xdr:grpSp>
            <xdr:nvGrpSpPr>
              <xdr:cNvPr id="41" name="Groupe 40">
                <a:extLst>
                  <a:ext uri="{FF2B5EF4-FFF2-40B4-BE49-F238E27FC236}">
                    <a16:creationId xmlns:a16="http://schemas.microsoft.com/office/drawing/2014/main" xmlns="" id="{88A9E77E-EB16-40C3-97E8-48AFDF3C383A}"/>
                  </a:ext>
                </a:extLst>
              </xdr:cNvPr>
              <xdr:cNvGrpSpPr/>
            </xdr:nvGrpSpPr>
            <xdr:grpSpPr>
              <a:xfrm>
                <a:off x="6470678" y="34580879"/>
                <a:ext cx="1306709" cy="1636057"/>
                <a:chOff x="8766203" y="38465582"/>
                <a:chExt cx="1306709" cy="1625918"/>
              </a:xfrm>
            </xdr:grpSpPr>
            <xdr:cxnSp macro="">
              <xdr:nvCxnSpPr>
                <xdr:cNvPr id="43" name="Connecteur droit avec flèche 42">
                  <a:extLst>
                    <a:ext uri="{FF2B5EF4-FFF2-40B4-BE49-F238E27FC236}">
                      <a16:creationId xmlns:a16="http://schemas.microsoft.com/office/drawing/2014/main" xmlns="" id="{B5B7DF9D-3E24-40CE-A336-4836D512D551}"/>
                    </a:ext>
                  </a:extLst>
                </xdr:cNvPr>
                <xdr:cNvCxnSpPr/>
              </xdr:nvCxnSpPr>
              <xdr:spPr>
                <a:xfrm rot="5400000">
                  <a:off x="8901212" y="39280537"/>
                  <a:ext cx="1618424" cy="1457"/>
                </a:xfrm>
                <a:prstGeom prst="straightConnector1">
                  <a:avLst/>
                </a:prstGeom>
                <a:solidFill>
                  <a:srgbClr val="ED7D31">
                    <a:lumMod val="60000"/>
                    <a:lumOff val="40000"/>
                  </a:srgbClr>
                </a:solidFill>
                <a:ln w="12700" cap="flat" cmpd="sng" algn="ctr">
                  <a:solidFill>
                    <a:sysClr val="windowText" lastClr="000000"/>
                  </a:solidFill>
                  <a:prstDash val="solid"/>
                  <a:miter lim="800000"/>
                  <a:headEnd type="oval" w="sm" len="sm"/>
                  <a:tailEnd type="oval" w="sm" len="sm"/>
                </a:ln>
                <a:effectLst/>
              </xdr:spPr>
            </xdr:cxnSp>
            <xdr:grpSp>
              <xdr:nvGrpSpPr>
                <xdr:cNvPr id="44" name="Groupe 43">
                  <a:extLst>
                    <a:ext uri="{FF2B5EF4-FFF2-40B4-BE49-F238E27FC236}">
                      <a16:creationId xmlns:a16="http://schemas.microsoft.com/office/drawing/2014/main" xmlns="" id="{33308974-BC19-49ED-87C8-FCA745E88C8C}"/>
                    </a:ext>
                  </a:extLst>
                </xdr:cNvPr>
                <xdr:cNvGrpSpPr/>
              </xdr:nvGrpSpPr>
              <xdr:grpSpPr>
                <a:xfrm>
                  <a:off x="8766203" y="38465582"/>
                  <a:ext cx="1306709" cy="1625918"/>
                  <a:chOff x="8756678" y="38475107"/>
                  <a:chExt cx="1306709" cy="1625918"/>
                </a:xfrm>
              </xdr:grpSpPr>
              <xdr:cxnSp macro="">
                <xdr:nvCxnSpPr>
                  <xdr:cNvPr id="45" name="Connecteur droit 44">
                    <a:extLst>
                      <a:ext uri="{FF2B5EF4-FFF2-40B4-BE49-F238E27FC236}">
                        <a16:creationId xmlns:a16="http://schemas.microsoft.com/office/drawing/2014/main" xmlns="" id="{D20F90C7-944F-4B17-986A-2779ABB69545}"/>
                      </a:ext>
                    </a:extLst>
                  </xdr:cNvPr>
                  <xdr:cNvCxnSpPr/>
                </xdr:nvCxnSpPr>
                <xdr:spPr>
                  <a:xfrm rot="5400000">
                    <a:off x="9409195" y="39446833"/>
                    <a:ext cx="8817" cy="1299567"/>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cxnSp macro="">
                <xdr:nvCxnSpPr>
                  <xdr:cNvPr id="46" name="Connecteur droit 45">
                    <a:extLst>
                      <a:ext uri="{FF2B5EF4-FFF2-40B4-BE49-F238E27FC236}">
                        <a16:creationId xmlns:a16="http://schemas.microsoft.com/office/drawing/2014/main" xmlns="" id="{C94BB479-8295-45DE-8E3B-E9AF6170636D}"/>
                      </a:ext>
                    </a:extLst>
                  </xdr:cNvPr>
                  <xdr:cNvCxnSpPr/>
                </xdr:nvCxnSpPr>
                <xdr:spPr>
                  <a:xfrm rot="5400000">
                    <a:off x="9390042" y="37841743"/>
                    <a:ext cx="2500" cy="1269228"/>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grpSp>
          </xdr:grpSp>
          <xdr:sp macro="" textlink="">
            <xdr:nvSpPr>
              <xdr:cNvPr id="42" name="ZoneTexte 41">
                <a:extLst>
                  <a:ext uri="{FF2B5EF4-FFF2-40B4-BE49-F238E27FC236}">
                    <a16:creationId xmlns:a16="http://schemas.microsoft.com/office/drawing/2014/main" xmlns="" id="{B420D09A-9FA7-4885-917C-3684C5C18B2A}"/>
                  </a:ext>
                </a:extLst>
              </xdr:cNvPr>
              <xdr:cNvSpPr txBox="1"/>
            </xdr:nvSpPr>
            <xdr:spPr>
              <a:xfrm rot="5400000">
                <a:off x="7504125" y="34851337"/>
                <a:ext cx="424611" cy="370978"/>
              </a:xfrm>
              <a:prstGeom prst="rect">
                <a:avLst/>
              </a:prstGeom>
              <a:solidFill>
                <a:srgbClr val="FFFF00"/>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R2 </a:t>
                </a:r>
              </a:p>
            </xdr:txBody>
          </xdr:sp>
        </xdr:grpSp>
        <xdr:grpSp>
          <xdr:nvGrpSpPr>
            <xdr:cNvPr id="8" name="Groupe 7">
              <a:extLst>
                <a:ext uri="{FF2B5EF4-FFF2-40B4-BE49-F238E27FC236}">
                  <a16:creationId xmlns:a16="http://schemas.microsoft.com/office/drawing/2014/main" xmlns="" id="{C68102CE-04F4-429C-AB4A-A1D741EDF5F0}"/>
                </a:ext>
              </a:extLst>
            </xdr:cNvPr>
            <xdr:cNvGrpSpPr/>
          </xdr:nvGrpSpPr>
          <xdr:grpSpPr>
            <a:xfrm rot="16200000">
              <a:off x="1675640" y="-259793"/>
              <a:ext cx="1072162" cy="1991797"/>
              <a:chOff x="6232197" y="34473858"/>
              <a:chExt cx="1402178" cy="1387623"/>
            </a:xfrm>
          </xdr:grpSpPr>
          <xdr:grpSp>
            <xdr:nvGrpSpPr>
              <xdr:cNvPr id="37" name="Groupe 36">
                <a:extLst>
                  <a:ext uri="{FF2B5EF4-FFF2-40B4-BE49-F238E27FC236}">
                    <a16:creationId xmlns:a16="http://schemas.microsoft.com/office/drawing/2014/main" xmlns="" id="{DA9316C5-DDF8-4C8E-916E-88BEB15A761F}"/>
                  </a:ext>
                </a:extLst>
              </xdr:cNvPr>
              <xdr:cNvGrpSpPr/>
            </xdr:nvGrpSpPr>
            <xdr:grpSpPr>
              <a:xfrm>
                <a:off x="6232197" y="34473858"/>
                <a:ext cx="1402178" cy="1387623"/>
                <a:chOff x="8527722" y="38359235"/>
                <a:chExt cx="1402178" cy="1379024"/>
              </a:xfrm>
            </xdr:grpSpPr>
            <xdr:cxnSp macro="">
              <xdr:nvCxnSpPr>
                <xdr:cNvPr id="39" name="Connecteur droit avec flèche 38">
                  <a:extLst>
                    <a:ext uri="{FF2B5EF4-FFF2-40B4-BE49-F238E27FC236}">
                      <a16:creationId xmlns:a16="http://schemas.microsoft.com/office/drawing/2014/main" xmlns="" id="{A3EF6142-528F-4DC0-9818-D7DF416C8E51}"/>
                    </a:ext>
                  </a:extLst>
                </xdr:cNvPr>
                <xdr:cNvCxnSpPr/>
              </xdr:nvCxnSpPr>
              <xdr:spPr>
                <a:xfrm rot="5400000" flipV="1">
                  <a:off x="8739047" y="39047277"/>
                  <a:ext cx="1372489" cy="9475"/>
                </a:xfrm>
                <a:prstGeom prst="straightConnector1">
                  <a:avLst/>
                </a:prstGeom>
                <a:solidFill>
                  <a:srgbClr val="ED7D31">
                    <a:lumMod val="60000"/>
                    <a:lumOff val="40000"/>
                  </a:srgbClr>
                </a:solidFill>
                <a:ln w="12700" cap="flat" cmpd="sng" algn="ctr">
                  <a:solidFill>
                    <a:sysClr val="windowText" lastClr="000000"/>
                  </a:solidFill>
                  <a:prstDash val="solid"/>
                  <a:miter lim="800000"/>
                  <a:headEnd type="oval" w="sm" len="sm"/>
                  <a:tailEnd type="oval" w="sm" len="sm"/>
                </a:ln>
                <a:effectLst/>
              </xdr:spPr>
            </xdr:cxnSp>
            <xdr:cxnSp macro="">
              <xdr:nvCxnSpPr>
                <xdr:cNvPr id="40" name="Connecteur droit 39">
                  <a:extLst>
                    <a:ext uri="{FF2B5EF4-FFF2-40B4-BE49-F238E27FC236}">
                      <a16:creationId xmlns:a16="http://schemas.microsoft.com/office/drawing/2014/main" xmlns="" id="{2CC21007-6C96-4D8C-95E3-AC10CF9FF1B8}"/>
                    </a:ext>
                  </a:extLst>
                </xdr:cNvPr>
                <xdr:cNvCxnSpPr/>
              </xdr:nvCxnSpPr>
              <xdr:spPr>
                <a:xfrm rot="5400000" flipH="1">
                  <a:off x="9227824" y="37659133"/>
                  <a:ext cx="1974" cy="1402178"/>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grpSp>
          <xdr:sp macro="" textlink="">
            <xdr:nvSpPr>
              <xdr:cNvPr id="38" name="ZoneTexte 37">
                <a:extLst>
                  <a:ext uri="{FF2B5EF4-FFF2-40B4-BE49-F238E27FC236}">
                    <a16:creationId xmlns:a16="http://schemas.microsoft.com/office/drawing/2014/main" xmlns="" id="{46451A8C-F3A1-4EC1-883F-6DD4B893E678}"/>
                  </a:ext>
                </a:extLst>
              </xdr:cNvPr>
              <xdr:cNvSpPr txBox="1"/>
            </xdr:nvSpPr>
            <xdr:spPr>
              <a:xfrm rot="5400000">
                <a:off x="7289180" y="34845654"/>
                <a:ext cx="294692" cy="320118"/>
              </a:xfrm>
              <a:prstGeom prst="rect">
                <a:avLst/>
              </a:prstGeom>
              <a:solidFill>
                <a:srgbClr val="FFFF00"/>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R1 </a:t>
                </a:r>
              </a:p>
            </xdr:txBody>
          </xdr:sp>
        </xdr:grpSp>
        <xdr:cxnSp macro="">
          <xdr:nvCxnSpPr>
            <xdr:cNvPr id="9" name="Connecteur droit 8">
              <a:extLst>
                <a:ext uri="{FF2B5EF4-FFF2-40B4-BE49-F238E27FC236}">
                  <a16:creationId xmlns:a16="http://schemas.microsoft.com/office/drawing/2014/main" xmlns="" id="{51F679DB-1861-4568-8718-26EFD72DF8EE}"/>
                </a:ext>
              </a:extLst>
            </xdr:cNvPr>
            <xdr:cNvCxnSpPr>
              <a:stCxn id="14" idx="6"/>
            </xdr:cNvCxnSpPr>
          </xdr:nvCxnSpPr>
          <xdr:spPr>
            <a:xfrm flipH="1">
              <a:off x="3808783" y="1322829"/>
              <a:ext cx="1170797" cy="2465787"/>
            </a:xfrm>
            <a:prstGeom prst="line">
              <a:avLst/>
            </a:prstGeom>
            <a:noFill/>
            <a:ln w="12700" cap="flat" cmpd="sng" algn="ctr">
              <a:solidFill>
                <a:srgbClr val="ED7D31">
                  <a:lumMod val="50000"/>
                </a:srgbClr>
              </a:solidFill>
              <a:prstDash val="solid"/>
              <a:miter lim="800000"/>
            </a:ln>
            <a:effectLst/>
          </xdr:spPr>
        </xdr:cxnSp>
        <xdr:grpSp>
          <xdr:nvGrpSpPr>
            <xdr:cNvPr id="10" name="Groupe 9"/>
            <xdr:cNvGrpSpPr/>
          </xdr:nvGrpSpPr>
          <xdr:grpSpPr>
            <a:xfrm>
              <a:off x="476250" y="1090925"/>
              <a:ext cx="5257800" cy="3785871"/>
              <a:chOff x="476250" y="1090925"/>
              <a:chExt cx="5257800" cy="3785871"/>
            </a:xfrm>
          </xdr:grpSpPr>
          <xdr:cxnSp macro="">
            <xdr:nvCxnSpPr>
              <xdr:cNvPr id="11" name="Connecteur droit 10">
                <a:extLst>
                  <a:ext uri="{FF2B5EF4-FFF2-40B4-BE49-F238E27FC236}">
                    <a16:creationId xmlns:a16="http://schemas.microsoft.com/office/drawing/2014/main" xmlns="" id="{ACAC2393-9D5C-4EDB-B30D-58AF2010CF8F}"/>
                  </a:ext>
                </a:extLst>
              </xdr:cNvPr>
              <xdr:cNvCxnSpPr/>
            </xdr:nvCxnSpPr>
            <xdr:spPr>
              <a:xfrm flipV="1">
                <a:off x="476250" y="1313398"/>
                <a:ext cx="711126" cy="251279"/>
              </a:xfrm>
              <a:prstGeom prst="line">
                <a:avLst/>
              </a:prstGeom>
              <a:noFill/>
              <a:ln w="6350" cap="flat" cmpd="sng" algn="ctr">
                <a:solidFill>
                  <a:sysClr val="windowText" lastClr="000000"/>
                </a:solidFill>
                <a:prstDash val="solid"/>
                <a:miter lim="800000"/>
              </a:ln>
              <a:effectLst/>
            </xdr:spPr>
          </xdr:cxnSp>
          <xdr:grpSp>
            <xdr:nvGrpSpPr>
              <xdr:cNvPr id="12" name="Groupe 11">
                <a:extLst>
                  <a:ext uri="{FF2B5EF4-FFF2-40B4-BE49-F238E27FC236}">
                    <a16:creationId xmlns:a16="http://schemas.microsoft.com/office/drawing/2014/main" xmlns="" id="{06E86520-33A4-40A7-9ACB-2A7FACF1FB03}"/>
                  </a:ext>
                </a:extLst>
              </xdr:cNvPr>
              <xdr:cNvGrpSpPr/>
            </xdr:nvGrpSpPr>
            <xdr:grpSpPr>
              <a:xfrm rot="5400000">
                <a:off x="2935691" y="3969510"/>
                <a:ext cx="995164" cy="743258"/>
                <a:chOff x="6460527" y="35539820"/>
                <a:chExt cx="1387425" cy="779717"/>
              </a:xfrm>
            </xdr:grpSpPr>
            <xdr:grpSp>
              <xdr:nvGrpSpPr>
                <xdr:cNvPr id="31" name="Groupe 30">
                  <a:extLst>
                    <a:ext uri="{FF2B5EF4-FFF2-40B4-BE49-F238E27FC236}">
                      <a16:creationId xmlns:a16="http://schemas.microsoft.com/office/drawing/2014/main" xmlns="" id="{8C88851F-D2E5-44AE-BC63-C7AD07F4AFCF}"/>
                    </a:ext>
                  </a:extLst>
                </xdr:cNvPr>
                <xdr:cNvGrpSpPr/>
              </xdr:nvGrpSpPr>
              <xdr:grpSpPr>
                <a:xfrm>
                  <a:off x="6460527" y="35539820"/>
                  <a:ext cx="1215341" cy="779717"/>
                  <a:chOff x="8756052" y="39418584"/>
                  <a:chExt cx="1215341" cy="774885"/>
                </a:xfrm>
              </xdr:grpSpPr>
              <xdr:cxnSp macro="">
                <xdr:nvCxnSpPr>
                  <xdr:cNvPr id="33" name="Connecteur droit avec flèche 32">
                    <a:extLst>
                      <a:ext uri="{FF2B5EF4-FFF2-40B4-BE49-F238E27FC236}">
                        <a16:creationId xmlns:a16="http://schemas.microsoft.com/office/drawing/2014/main" xmlns="" id="{CD7A506C-96C7-4B5B-89BC-1512535D6A0F}"/>
                      </a:ext>
                    </a:extLst>
                  </xdr:cNvPr>
                  <xdr:cNvCxnSpPr/>
                </xdr:nvCxnSpPr>
                <xdr:spPr>
                  <a:xfrm rot="16200000" flipH="1">
                    <a:off x="9352527" y="39804519"/>
                    <a:ext cx="774348" cy="2479"/>
                  </a:xfrm>
                  <a:prstGeom prst="straightConnector1">
                    <a:avLst/>
                  </a:prstGeom>
                  <a:solidFill>
                    <a:srgbClr val="ED7D31">
                      <a:lumMod val="60000"/>
                      <a:lumOff val="40000"/>
                    </a:srgbClr>
                  </a:solidFill>
                  <a:ln w="12700" cap="flat" cmpd="sng" algn="ctr">
                    <a:solidFill>
                      <a:sysClr val="windowText" lastClr="000000"/>
                    </a:solidFill>
                    <a:prstDash val="solid"/>
                    <a:miter lim="800000"/>
                    <a:headEnd type="oval" w="sm" len="sm"/>
                    <a:tailEnd type="oval" w="sm" len="sm"/>
                  </a:ln>
                  <a:effectLst/>
                </xdr:spPr>
              </xdr:cxnSp>
              <xdr:grpSp>
                <xdr:nvGrpSpPr>
                  <xdr:cNvPr id="34" name="Groupe 33">
                    <a:extLst>
                      <a:ext uri="{FF2B5EF4-FFF2-40B4-BE49-F238E27FC236}">
                        <a16:creationId xmlns:a16="http://schemas.microsoft.com/office/drawing/2014/main" xmlns="" id="{5C72CAA5-4E14-4A6D-A3C7-26D36EEE7365}"/>
                      </a:ext>
                    </a:extLst>
                  </xdr:cNvPr>
                  <xdr:cNvGrpSpPr/>
                </xdr:nvGrpSpPr>
                <xdr:grpSpPr>
                  <a:xfrm>
                    <a:off x="8756052" y="39418584"/>
                    <a:ext cx="1215341" cy="774885"/>
                    <a:chOff x="8746527" y="39428109"/>
                    <a:chExt cx="1215341" cy="774885"/>
                  </a:xfrm>
                </xdr:grpSpPr>
                <xdr:cxnSp macro="">
                  <xdr:nvCxnSpPr>
                    <xdr:cNvPr id="35" name="Connecteur droit 34">
                      <a:extLst>
                        <a:ext uri="{FF2B5EF4-FFF2-40B4-BE49-F238E27FC236}">
                          <a16:creationId xmlns:a16="http://schemas.microsoft.com/office/drawing/2014/main" xmlns="" id="{76867FC5-8AB0-4EAF-A601-D53A26C48A81}"/>
                        </a:ext>
                      </a:extLst>
                    </xdr:cNvPr>
                    <xdr:cNvCxnSpPr/>
                  </xdr:nvCxnSpPr>
                  <xdr:spPr>
                    <a:xfrm rot="16200000" flipV="1">
                      <a:off x="9348437" y="39589562"/>
                      <a:ext cx="11522" cy="1215341"/>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cxnSp macro="">
                  <xdr:nvCxnSpPr>
                    <xdr:cNvPr id="36" name="Connecteur droit 35">
                      <a:extLst>
                        <a:ext uri="{FF2B5EF4-FFF2-40B4-BE49-F238E27FC236}">
                          <a16:creationId xmlns:a16="http://schemas.microsoft.com/office/drawing/2014/main" xmlns="" id="{011E397C-E29A-4948-965F-5BC4D3A78DF7}"/>
                        </a:ext>
                      </a:extLst>
                    </xdr:cNvPr>
                    <xdr:cNvCxnSpPr/>
                  </xdr:nvCxnSpPr>
                  <xdr:spPr>
                    <a:xfrm rot="16200000" flipV="1">
                      <a:off x="9352130" y="38849888"/>
                      <a:ext cx="780" cy="1157221"/>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grpSp>
            </xdr:grpSp>
            <xdr:sp macro="" textlink="">
              <xdr:nvSpPr>
                <xdr:cNvPr id="32" name="ZoneTexte 31">
                  <a:extLst>
                    <a:ext uri="{FF2B5EF4-FFF2-40B4-BE49-F238E27FC236}">
                      <a16:creationId xmlns:a16="http://schemas.microsoft.com/office/drawing/2014/main" xmlns="" id="{252BCB39-A79F-4896-B30D-C3FCE227B650}"/>
                    </a:ext>
                  </a:extLst>
                </xdr:cNvPr>
                <xdr:cNvSpPr txBox="1"/>
              </xdr:nvSpPr>
              <xdr:spPr>
                <a:xfrm rot="16200000">
                  <a:off x="7515794" y="35783218"/>
                  <a:ext cx="331098" cy="333219"/>
                </a:xfrm>
                <a:prstGeom prst="rect">
                  <a:avLst/>
                </a:prstGeom>
                <a:solidFill>
                  <a:srgbClr val="FFFF00"/>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r2</a:t>
                  </a:r>
                </a:p>
              </xdr:txBody>
            </xdr:sp>
          </xdr:grpSp>
          <xdr:grpSp>
            <xdr:nvGrpSpPr>
              <xdr:cNvPr id="13" name="Groupe 12">
                <a:extLst>
                  <a:ext uri="{FF2B5EF4-FFF2-40B4-BE49-F238E27FC236}">
                    <a16:creationId xmlns:a16="http://schemas.microsoft.com/office/drawing/2014/main" xmlns="" id="{06DBCEB9-9922-4BDD-95CF-A31205D683C2}"/>
                  </a:ext>
                </a:extLst>
              </xdr:cNvPr>
              <xdr:cNvGrpSpPr/>
            </xdr:nvGrpSpPr>
            <xdr:grpSpPr>
              <a:xfrm rot="5400000">
                <a:off x="2121706" y="3936898"/>
                <a:ext cx="980812" cy="898983"/>
                <a:chOff x="6534613" y="35769290"/>
                <a:chExt cx="1286675" cy="598800"/>
              </a:xfrm>
            </xdr:grpSpPr>
            <xdr:grpSp>
              <xdr:nvGrpSpPr>
                <xdr:cNvPr id="27" name="Groupe 26">
                  <a:extLst>
                    <a:ext uri="{FF2B5EF4-FFF2-40B4-BE49-F238E27FC236}">
                      <a16:creationId xmlns:a16="http://schemas.microsoft.com/office/drawing/2014/main" xmlns="" id="{8310BB7A-710C-4C9D-AE8A-3690E76ADD60}"/>
                    </a:ext>
                  </a:extLst>
                </xdr:cNvPr>
                <xdr:cNvGrpSpPr/>
              </xdr:nvGrpSpPr>
              <xdr:grpSpPr>
                <a:xfrm>
                  <a:off x="6534613" y="35769290"/>
                  <a:ext cx="1118897" cy="598800"/>
                  <a:chOff x="8830138" y="39646555"/>
                  <a:chExt cx="1118897" cy="595088"/>
                </a:xfrm>
              </xdr:grpSpPr>
              <xdr:cxnSp macro="">
                <xdr:nvCxnSpPr>
                  <xdr:cNvPr id="29" name="Connecteur droit avec flèche 28">
                    <a:extLst>
                      <a:ext uri="{FF2B5EF4-FFF2-40B4-BE49-F238E27FC236}">
                        <a16:creationId xmlns:a16="http://schemas.microsoft.com/office/drawing/2014/main" xmlns="" id="{E4D67D9B-2226-480B-A675-537B389BDD6A}"/>
                      </a:ext>
                    </a:extLst>
                  </xdr:cNvPr>
                  <xdr:cNvCxnSpPr/>
                </xdr:nvCxnSpPr>
                <xdr:spPr>
                  <a:xfrm rot="16200000" flipH="1">
                    <a:off x="9394160" y="39931827"/>
                    <a:ext cx="579892" cy="9348"/>
                  </a:xfrm>
                  <a:prstGeom prst="straightConnector1">
                    <a:avLst/>
                  </a:prstGeom>
                  <a:solidFill>
                    <a:srgbClr val="ED7D31">
                      <a:lumMod val="60000"/>
                      <a:lumOff val="40000"/>
                    </a:srgbClr>
                  </a:solidFill>
                  <a:ln w="12700" cap="flat" cmpd="sng" algn="ctr">
                    <a:solidFill>
                      <a:sysClr val="windowText" lastClr="000000"/>
                    </a:solidFill>
                    <a:prstDash val="solid"/>
                    <a:miter lim="800000"/>
                    <a:headEnd type="oval" w="sm" len="sm"/>
                    <a:tailEnd type="oval" w="sm" len="sm"/>
                  </a:ln>
                  <a:effectLst/>
                </xdr:spPr>
              </xdr:cxnSp>
              <xdr:cxnSp macro="">
                <xdr:nvCxnSpPr>
                  <xdr:cNvPr id="30" name="Connecteur droit 29">
                    <a:extLst>
                      <a:ext uri="{FF2B5EF4-FFF2-40B4-BE49-F238E27FC236}">
                        <a16:creationId xmlns:a16="http://schemas.microsoft.com/office/drawing/2014/main" xmlns="" id="{2F6514CC-E649-467F-B587-D12BD4E8AEF1}"/>
                      </a:ext>
                    </a:extLst>
                  </xdr:cNvPr>
                  <xdr:cNvCxnSpPr/>
                </xdr:nvCxnSpPr>
                <xdr:spPr>
                  <a:xfrm rot="16200000" flipV="1">
                    <a:off x="9386714" y="39679321"/>
                    <a:ext cx="5746" cy="1118897"/>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grpSp>
            <xdr:sp macro="" textlink="">
              <xdr:nvSpPr>
                <xdr:cNvPr id="28" name="ZoneTexte 27">
                  <a:extLst>
                    <a:ext uri="{FF2B5EF4-FFF2-40B4-BE49-F238E27FC236}">
                      <a16:creationId xmlns:a16="http://schemas.microsoft.com/office/drawing/2014/main" xmlns="" id="{5E2A9356-8CB1-4FF7-8498-2CF280212299}"/>
                    </a:ext>
                  </a:extLst>
                </xdr:cNvPr>
                <xdr:cNvSpPr txBox="1"/>
              </xdr:nvSpPr>
              <xdr:spPr>
                <a:xfrm rot="16200000">
                  <a:off x="7525980" y="35852133"/>
                  <a:ext cx="216836" cy="373781"/>
                </a:xfrm>
                <a:prstGeom prst="rect">
                  <a:avLst/>
                </a:prstGeom>
                <a:solidFill>
                  <a:srgbClr val="FFFF00"/>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r1</a:t>
                  </a:r>
                </a:p>
              </xdr:txBody>
            </xdr:sp>
          </xdr:grpSp>
          <xdr:sp macro="" textlink="">
            <xdr:nvSpPr>
              <xdr:cNvPr id="14" name="Ellipse 13">
                <a:extLst>
                  <a:ext uri="{FF2B5EF4-FFF2-40B4-BE49-F238E27FC236}">
                    <a16:creationId xmlns:a16="http://schemas.microsoft.com/office/drawing/2014/main" xmlns="" id="{A5F4F7A4-DC39-4AB0-A508-3F3DB583E55A}"/>
                  </a:ext>
                </a:extLst>
              </xdr:cNvPr>
              <xdr:cNvSpPr/>
            </xdr:nvSpPr>
            <xdr:spPr>
              <a:xfrm>
                <a:off x="1215852" y="1090925"/>
                <a:ext cx="3763728" cy="482857"/>
              </a:xfrm>
              <a:prstGeom prst="ellipse">
                <a:avLst/>
              </a:prstGeom>
              <a:noFill/>
              <a:ln w="12700" cap="flat" cmpd="sng" algn="ctr">
                <a:solidFill>
                  <a:srgbClr val="ED7D31">
                    <a:lumMod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xnSp macro="">
            <xdr:nvCxnSpPr>
              <xdr:cNvPr id="15" name="Connecteur droit 14">
                <a:extLst>
                  <a:ext uri="{FF2B5EF4-FFF2-40B4-BE49-F238E27FC236}">
                    <a16:creationId xmlns:a16="http://schemas.microsoft.com/office/drawing/2014/main" xmlns="" id="{DED0417F-4421-4065-9C81-AC2D1933943B}"/>
                  </a:ext>
                </a:extLst>
              </xdr:cNvPr>
              <xdr:cNvCxnSpPr>
                <a:stCxn id="14" idx="2"/>
              </xdr:cNvCxnSpPr>
            </xdr:nvCxnSpPr>
            <xdr:spPr>
              <a:xfrm>
                <a:off x="1215852" y="1322829"/>
                <a:ext cx="965354" cy="2472655"/>
              </a:xfrm>
              <a:prstGeom prst="line">
                <a:avLst/>
              </a:prstGeom>
              <a:noFill/>
              <a:ln w="12700" cap="flat" cmpd="sng" algn="ctr">
                <a:solidFill>
                  <a:srgbClr val="ED7D31">
                    <a:lumMod val="50000"/>
                  </a:srgbClr>
                </a:solidFill>
                <a:prstDash val="solid"/>
                <a:miter lim="800000"/>
              </a:ln>
              <a:effectLst/>
            </xdr:spPr>
          </xdr:cxnSp>
          <xdr:cxnSp macro="">
            <xdr:nvCxnSpPr>
              <xdr:cNvPr id="16" name="Connecteur droit 15">
                <a:extLst>
                  <a:ext uri="{FF2B5EF4-FFF2-40B4-BE49-F238E27FC236}">
                    <a16:creationId xmlns:a16="http://schemas.microsoft.com/office/drawing/2014/main" xmlns="" id="{B85987B6-98A5-41F0-BC23-3D2E0B626D15}"/>
                  </a:ext>
                </a:extLst>
              </xdr:cNvPr>
              <xdr:cNvCxnSpPr>
                <a:stCxn id="5" idx="2"/>
                <a:endCxn id="47" idx="2"/>
              </xdr:cNvCxnSpPr>
            </xdr:nvCxnSpPr>
            <xdr:spPr>
              <a:xfrm>
                <a:off x="1338185" y="1335683"/>
                <a:ext cx="901484" cy="2392549"/>
              </a:xfrm>
              <a:prstGeom prst="line">
                <a:avLst/>
              </a:prstGeom>
              <a:noFill/>
              <a:ln w="12700" cap="flat" cmpd="sng" algn="ctr">
                <a:solidFill>
                  <a:schemeClr val="tx2">
                    <a:lumMod val="60000"/>
                    <a:lumOff val="40000"/>
                  </a:schemeClr>
                </a:solidFill>
                <a:prstDash val="dash"/>
                <a:miter lim="800000"/>
              </a:ln>
              <a:effectLst/>
            </xdr:spPr>
          </xdr:cxnSp>
          <xdr:cxnSp macro="">
            <xdr:nvCxnSpPr>
              <xdr:cNvPr id="17" name="Connecteur droit 16">
                <a:extLst>
                  <a:ext uri="{FF2B5EF4-FFF2-40B4-BE49-F238E27FC236}">
                    <a16:creationId xmlns:a16="http://schemas.microsoft.com/office/drawing/2014/main" xmlns="" id="{E5821228-1651-4A76-B997-F97912555AE7}"/>
                  </a:ext>
                </a:extLst>
              </xdr:cNvPr>
              <xdr:cNvCxnSpPr>
                <a:stCxn id="5" idx="6"/>
                <a:endCxn id="47" idx="6"/>
              </xdr:cNvCxnSpPr>
            </xdr:nvCxnSpPr>
            <xdr:spPr>
              <a:xfrm flipH="1">
                <a:off x="3765080" y="1335683"/>
                <a:ext cx="1115787" cy="2392549"/>
              </a:xfrm>
              <a:prstGeom prst="line">
                <a:avLst/>
              </a:prstGeom>
              <a:noFill/>
              <a:ln w="12700" cap="flat" cmpd="sng" algn="ctr">
                <a:solidFill>
                  <a:schemeClr val="tx2">
                    <a:lumMod val="60000"/>
                    <a:lumOff val="40000"/>
                  </a:schemeClr>
                </a:solidFill>
                <a:prstDash val="dash"/>
                <a:miter lim="800000"/>
              </a:ln>
              <a:effectLst/>
            </xdr:spPr>
          </xdr:cxnSp>
          <xdr:grpSp>
            <xdr:nvGrpSpPr>
              <xdr:cNvPr id="18" name="Groupe 17">
                <a:extLst>
                  <a:ext uri="{FF2B5EF4-FFF2-40B4-BE49-F238E27FC236}">
                    <a16:creationId xmlns:a16="http://schemas.microsoft.com/office/drawing/2014/main" xmlns="" id="{1BB4AEED-AB6D-4E31-9B9F-9BC068BB01FF}"/>
                  </a:ext>
                </a:extLst>
              </xdr:cNvPr>
              <xdr:cNvGrpSpPr/>
            </xdr:nvGrpSpPr>
            <xdr:grpSpPr>
              <a:xfrm>
                <a:off x="3861867" y="1323154"/>
                <a:ext cx="1872183" cy="2455830"/>
                <a:chOff x="6019801" y="34583635"/>
                <a:chExt cx="2348130" cy="2961941"/>
              </a:xfrm>
            </xdr:grpSpPr>
            <xdr:grpSp>
              <xdr:nvGrpSpPr>
                <xdr:cNvPr id="21" name="Groupe 20">
                  <a:extLst>
                    <a:ext uri="{FF2B5EF4-FFF2-40B4-BE49-F238E27FC236}">
                      <a16:creationId xmlns:a16="http://schemas.microsoft.com/office/drawing/2014/main" xmlns="" id="{482859A9-39F1-4244-BF61-DFC865C7AE50}"/>
                    </a:ext>
                  </a:extLst>
                </xdr:cNvPr>
                <xdr:cNvGrpSpPr/>
              </xdr:nvGrpSpPr>
              <xdr:grpSpPr>
                <a:xfrm>
                  <a:off x="6019801" y="34583635"/>
                  <a:ext cx="2225467" cy="2961941"/>
                  <a:chOff x="8315326" y="38468318"/>
                  <a:chExt cx="2225467" cy="2943585"/>
                </a:xfrm>
              </xdr:grpSpPr>
              <xdr:cxnSp macro="">
                <xdr:nvCxnSpPr>
                  <xdr:cNvPr id="23" name="Connecteur droit avec flèche 22">
                    <a:extLst>
                      <a:ext uri="{FF2B5EF4-FFF2-40B4-BE49-F238E27FC236}">
                        <a16:creationId xmlns:a16="http://schemas.microsoft.com/office/drawing/2014/main" xmlns="" id="{07D23FFE-47CE-4A99-B910-9A8A5BBD44C1}"/>
                      </a:ext>
                    </a:extLst>
                  </xdr:cNvPr>
                  <xdr:cNvCxnSpPr/>
                </xdr:nvCxnSpPr>
                <xdr:spPr>
                  <a:xfrm flipH="1">
                    <a:off x="10030722" y="38489989"/>
                    <a:ext cx="19050" cy="2913933"/>
                  </a:xfrm>
                  <a:prstGeom prst="straightConnector1">
                    <a:avLst/>
                  </a:prstGeom>
                  <a:solidFill>
                    <a:srgbClr val="ED7D31">
                      <a:lumMod val="60000"/>
                      <a:lumOff val="40000"/>
                    </a:srgbClr>
                  </a:solidFill>
                  <a:ln w="19050" cap="flat" cmpd="sng" algn="ctr">
                    <a:solidFill>
                      <a:sysClr val="windowText" lastClr="000000"/>
                    </a:solidFill>
                    <a:prstDash val="solid"/>
                    <a:miter lim="800000"/>
                    <a:headEnd type="oval" w="sm" len="sm"/>
                    <a:tailEnd type="oval" w="sm" len="sm"/>
                  </a:ln>
                  <a:effectLst/>
                </xdr:spPr>
              </xdr:cxnSp>
              <xdr:grpSp>
                <xdr:nvGrpSpPr>
                  <xdr:cNvPr id="24" name="Groupe 23">
                    <a:extLst>
                      <a:ext uri="{FF2B5EF4-FFF2-40B4-BE49-F238E27FC236}">
                        <a16:creationId xmlns:a16="http://schemas.microsoft.com/office/drawing/2014/main" xmlns="" id="{274A29D7-F07F-4CCA-B5A5-0927C519474D}"/>
                      </a:ext>
                    </a:extLst>
                  </xdr:cNvPr>
                  <xdr:cNvGrpSpPr/>
                </xdr:nvGrpSpPr>
                <xdr:grpSpPr>
                  <a:xfrm>
                    <a:off x="8315326" y="38468318"/>
                    <a:ext cx="2225467" cy="2943585"/>
                    <a:chOff x="8305801" y="38477843"/>
                    <a:chExt cx="2225467" cy="2943585"/>
                  </a:xfrm>
                </xdr:grpSpPr>
                <xdr:cxnSp macro="">
                  <xdr:nvCxnSpPr>
                    <xdr:cNvPr id="25" name="Connecteur droit 24">
                      <a:extLst>
                        <a:ext uri="{FF2B5EF4-FFF2-40B4-BE49-F238E27FC236}">
                          <a16:creationId xmlns:a16="http://schemas.microsoft.com/office/drawing/2014/main" xmlns="" id="{930F8059-DB3C-482F-A432-BB2062BE0673}"/>
                        </a:ext>
                      </a:extLst>
                    </xdr:cNvPr>
                    <xdr:cNvCxnSpPr/>
                  </xdr:nvCxnSpPr>
                  <xdr:spPr>
                    <a:xfrm flipH="1">
                      <a:off x="8305801" y="41412946"/>
                      <a:ext cx="2152649" cy="8482"/>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cxnSp macro="">
                  <xdr:nvCxnSpPr>
                    <xdr:cNvPr id="26" name="Connecteur droit 25">
                      <a:extLst>
                        <a:ext uri="{FF2B5EF4-FFF2-40B4-BE49-F238E27FC236}">
                          <a16:creationId xmlns:a16="http://schemas.microsoft.com/office/drawing/2014/main" xmlns="" id="{D8CCE95D-B493-40A8-95C6-86409124D0EA}"/>
                        </a:ext>
                      </a:extLst>
                    </xdr:cNvPr>
                    <xdr:cNvCxnSpPr/>
                  </xdr:nvCxnSpPr>
                  <xdr:spPr>
                    <a:xfrm flipH="1" flipV="1">
                      <a:off x="9750286" y="38477843"/>
                      <a:ext cx="780982" cy="1932"/>
                    </a:xfrm>
                    <a:prstGeom prst="line">
                      <a:avLst/>
                    </a:prstGeom>
                    <a:solidFill>
                      <a:srgbClr val="ED7D31">
                        <a:lumMod val="60000"/>
                        <a:lumOff val="40000"/>
                      </a:srgbClr>
                    </a:solidFill>
                    <a:ln w="6350" cap="flat" cmpd="sng" algn="ctr">
                      <a:solidFill>
                        <a:sysClr val="windowText" lastClr="000000"/>
                      </a:solidFill>
                      <a:prstDash val="solid"/>
                      <a:miter lim="800000"/>
                    </a:ln>
                    <a:effectLst/>
                  </xdr:spPr>
                </xdr:cxnSp>
              </xdr:grpSp>
            </xdr:grpSp>
            <xdr:sp macro="" textlink="">
              <xdr:nvSpPr>
                <xdr:cNvPr id="22" name="ZoneTexte 21">
                  <a:extLst>
                    <a:ext uri="{FF2B5EF4-FFF2-40B4-BE49-F238E27FC236}">
                      <a16:creationId xmlns:a16="http://schemas.microsoft.com/office/drawing/2014/main" xmlns="" id="{C931600D-7BB8-4323-A03E-AFF88DD18A6A}"/>
                    </a:ext>
                  </a:extLst>
                </xdr:cNvPr>
                <xdr:cNvSpPr txBox="1"/>
              </xdr:nvSpPr>
              <xdr:spPr>
                <a:xfrm>
                  <a:off x="7996456" y="36119240"/>
                  <a:ext cx="371475" cy="304025"/>
                </a:xfrm>
                <a:prstGeom prst="rect">
                  <a:avLst/>
                </a:prstGeom>
                <a:solidFill>
                  <a:srgbClr val="FFFF00"/>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100" b="1" i="0" u="none" strike="noStrike" kern="0" cap="none" spc="0" normalizeH="0" baseline="0" noProof="0">
                      <a:ln>
                        <a:noFill/>
                      </a:ln>
                      <a:solidFill>
                        <a:srgbClr val="FF0000"/>
                      </a:solidFill>
                      <a:effectLst/>
                      <a:uLnTx/>
                      <a:uFillTx/>
                      <a:latin typeface="Times New Roman" panose="02020603050405020304" pitchFamily="18" charset="0"/>
                      <a:ea typeface="+mn-ea"/>
                      <a:cs typeface="Times New Roman" panose="02020603050405020304" pitchFamily="18" charset="0"/>
                    </a:rPr>
                    <a:t>H </a:t>
                  </a:r>
                </a:p>
              </xdr:txBody>
            </xdr:sp>
          </xdr:grpSp>
          <xdr:cxnSp macro="">
            <xdr:nvCxnSpPr>
              <xdr:cNvPr id="19" name="Connecteur droit 18">
                <a:extLst>
                  <a:ext uri="{FF2B5EF4-FFF2-40B4-BE49-F238E27FC236}">
                    <a16:creationId xmlns:a16="http://schemas.microsoft.com/office/drawing/2014/main" xmlns="" id="{4F6B618A-D294-4777-91E4-AF7724CE1F45}"/>
                  </a:ext>
                </a:extLst>
              </xdr:cNvPr>
              <xdr:cNvCxnSpPr/>
            </xdr:nvCxnSpPr>
            <xdr:spPr>
              <a:xfrm>
                <a:off x="872595" y="1475883"/>
                <a:ext cx="963779" cy="2417580"/>
              </a:xfrm>
              <a:prstGeom prst="line">
                <a:avLst/>
              </a:prstGeom>
              <a:noFill/>
              <a:ln w="19050" cap="flat" cmpd="sng" algn="ctr">
                <a:solidFill>
                  <a:sysClr val="windowText" lastClr="000000"/>
                </a:solidFill>
                <a:prstDash val="solid"/>
                <a:miter lim="800000"/>
                <a:headEnd type="oval" w="sm" len="sm"/>
                <a:tailEnd type="oval" w="sm" len="sm"/>
              </a:ln>
              <a:effectLst/>
            </xdr:spPr>
          </xdr:cxnSp>
          <xdr:sp macro="" textlink="">
            <xdr:nvSpPr>
              <xdr:cNvPr id="20" name="Forme libre 19"/>
              <xdr:cNvSpPr/>
            </xdr:nvSpPr>
            <xdr:spPr>
              <a:xfrm>
                <a:off x="2162175" y="3781425"/>
                <a:ext cx="1666875" cy="314445"/>
              </a:xfrm>
              <a:custGeom>
                <a:avLst/>
                <a:gdLst>
                  <a:gd name="connsiteX0" fmla="*/ 0 w 1666875"/>
                  <a:gd name="connsiteY0" fmla="*/ 0 h 314445"/>
                  <a:gd name="connsiteX1" fmla="*/ 219075 w 1666875"/>
                  <a:gd name="connsiteY1" fmla="*/ 180975 h 314445"/>
                  <a:gd name="connsiteX2" fmla="*/ 523875 w 1666875"/>
                  <a:gd name="connsiteY2" fmla="*/ 276225 h 314445"/>
                  <a:gd name="connsiteX3" fmla="*/ 923925 w 1666875"/>
                  <a:gd name="connsiteY3" fmla="*/ 314325 h 314445"/>
                  <a:gd name="connsiteX4" fmla="*/ 1171575 w 1666875"/>
                  <a:gd name="connsiteY4" fmla="*/ 285750 h 314445"/>
                  <a:gd name="connsiteX5" fmla="*/ 1390650 w 1666875"/>
                  <a:gd name="connsiteY5" fmla="*/ 219075 h 314445"/>
                  <a:gd name="connsiteX6" fmla="*/ 1562100 w 1666875"/>
                  <a:gd name="connsiteY6" fmla="*/ 114300 h 314445"/>
                  <a:gd name="connsiteX7" fmla="*/ 1666875 w 1666875"/>
                  <a:gd name="connsiteY7" fmla="*/ 9525 h 3144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666875" h="314445">
                    <a:moveTo>
                      <a:pt x="0" y="0"/>
                    </a:moveTo>
                    <a:cubicBezTo>
                      <a:pt x="65881" y="67469"/>
                      <a:pt x="131763" y="134938"/>
                      <a:pt x="219075" y="180975"/>
                    </a:cubicBezTo>
                    <a:cubicBezTo>
                      <a:pt x="306387" y="227012"/>
                      <a:pt x="406400" y="254000"/>
                      <a:pt x="523875" y="276225"/>
                    </a:cubicBezTo>
                    <a:cubicBezTo>
                      <a:pt x="641350" y="298450"/>
                      <a:pt x="815975" y="312738"/>
                      <a:pt x="923925" y="314325"/>
                    </a:cubicBezTo>
                    <a:cubicBezTo>
                      <a:pt x="1031875" y="315913"/>
                      <a:pt x="1093788" y="301625"/>
                      <a:pt x="1171575" y="285750"/>
                    </a:cubicBezTo>
                    <a:cubicBezTo>
                      <a:pt x="1249362" y="269875"/>
                      <a:pt x="1325563" y="247650"/>
                      <a:pt x="1390650" y="219075"/>
                    </a:cubicBezTo>
                    <a:cubicBezTo>
                      <a:pt x="1455737" y="190500"/>
                      <a:pt x="1516063" y="149225"/>
                      <a:pt x="1562100" y="114300"/>
                    </a:cubicBezTo>
                    <a:cubicBezTo>
                      <a:pt x="1608137" y="79375"/>
                      <a:pt x="1637506" y="44450"/>
                      <a:pt x="1666875" y="9525"/>
                    </a:cubicBezTo>
                  </a:path>
                </a:pathLst>
              </a:custGeom>
              <a:ln w="12700">
                <a:solidFill>
                  <a:srgbClr val="996600"/>
                </a:solidFill>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fr-BE" sz="1100"/>
              </a:p>
            </xdr:txBody>
          </xdr:sp>
        </xdr:grpSp>
      </xdr:grpSp>
    </xdr:grpSp>
    <xdr:clientData/>
  </xdr:twoCellAnchor>
  <xdr:twoCellAnchor>
    <xdr:from>
      <xdr:col>2</xdr:col>
      <xdr:colOff>361950</xdr:colOff>
      <xdr:row>17</xdr:row>
      <xdr:rowOff>0</xdr:rowOff>
    </xdr:from>
    <xdr:to>
      <xdr:col>4</xdr:col>
      <xdr:colOff>180975</xdr:colOff>
      <xdr:row>19</xdr:row>
      <xdr:rowOff>138601</xdr:rowOff>
    </xdr:to>
    <xdr:sp macro="" textlink="">
      <xdr:nvSpPr>
        <xdr:cNvPr id="47" name="Ellipse 46">
          <a:extLst>
            <a:ext uri="{FF2B5EF4-FFF2-40B4-BE49-F238E27FC236}">
              <a16:creationId xmlns:a16="http://schemas.microsoft.com/office/drawing/2014/main" xmlns="" id="{DC8C3019-8181-4D9B-9D0F-9325B931EB05}"/>
            </a:ext>
          </a:extLst>
        </xdr:cNvPr>
        <xdr:cNvSpPr/>
      </xdr:nvSpPr>
      <xdr:spPr>
        <a:xfrm>
          <a:off x="1885950" y="3705225"/>
          <a:ext cx="1343025" cy="519601"/>
        </a:xfrm>
        <a:prstGeom prst="ellipse">
          <a:avLst/>
        </a:prstGeom>
        <a:noFill/>
        <a:ln w="12700" cap="flat" cmpd="sng" algn="ctr">
          <a:solidFill>
            <a:schemeClr val="tx2">
              <a:lumMod val="40000"/>
              <a:lumOff val="60000"/>
            </a:schemeClr>
          </a:solidFill>
          <a:prstDash val="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11</xdr:row>
      <xdr:rowOff>66675</xdr:rowOff>
    </xdr:from>
    <xdr:to>
      <xdr:col>8</xdr:col>
      <xdr:colOff>371475</xdr:colOff>
      <xdr:row>12</xdr:row>
      <xdr:rowOff>19050</xdr:rowOff>
    </xdr:to>
    <xdr:sp macro="" textlink="">
      <xdr:nvSpPr>
        <xdr:cNvPr id="2" name="ZoneTexte 1"/>
        <xdr:cNvSpPr txBox="1"/>
      </xdr:nvSpPr>
      <xdr:spPr>
        <a:xfrm>
          <a:off x="4333875" y="2638425"/>
          <a:ext cx="3429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BE" sz="1200"/>
            <a:t>pour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7</xdr:row>
      <xdr:rowOff>276225</xdr:rowOff>
    </xdr:from>
    <xdr:to>
      <xdr:col>1</xdr:col>
      <xdr:colOff>476250</xdr:colOff>
      <xdr:row>9</xdr:row>
      <xdr:rowOff>28575</xdr:rowOff>
    </xdr:to>
    <xdr:cxnSp macro="">
      <xdr:nvCxnSpPr>
        <xdr:cNvPr id="2" name="Connecteur droit avec flèche 1"/>
        <xdr:cNvCxnSpPr/>
      </xdr:nvCxnSpPr>
      <xdr:spPr>
        <a:xfrm>
          <a:off x="876300" y="2114550"/>
          <a:ext cx="142875" cy="32385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66675</xdr:colOff>
      <xdr:row>3</xdr:row>
      <xdr:rowOff>28575</xdr:rowOff>
    </xdr:from>
    <xdr:to>
      <xdr:col>1</xdr:col>
      <xdr:colOff>114300</xdr:colOff>
      <xdr:row>3</xdr:row>
      <xdr:rowOff>228600</xdr:rowOff>
    </xdr:to>
    <xdr:sp macro="" textlink="">
      <xdr:nvSpPr>
        <xdr:cNvPr id="3" name="ZoneTexte 2"/>
        <xdr:cNvSpPr txBox="1"/>
      </xdr:nvSpPr>
      <xdr:spPr>
        <a:xfrm>
          <a:off x="66675" y="723900"/>
          <a:ext cx="5905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Vin de: </a:t>
          </a:r>
        </a:p>
      </xdr:txBody>
    </xdr:sp>
    <xdr:clientData/>
  </xdr:twoCellAnchor>
  <xdr:twoCellAnchor>
    <xdr:from>
      <xdr:col>1</xdr:col>
      <xdr:colOff>1114424</xdr:colOff>
      <xdr:row>13</xdr:row>
      <xdr:rowOff>161924</xdr:rowOff>
    </xdr:from>
    <xdr:to>
      <xdr:col>1</xdr:col>
      <xdr:colOff>1390649</xdr:colOff>
      <xdr:row>21</xdr:row>
      <xdr:rowOff>152399</xdr:rowOff>
    </xdr:to>
    <xdr:sp macro="" textlink="">
      <xdr:nvSpPr>
        <xdr:cNvPr id="4" name="Parenthèse ouvrante 3"/>
        <xdr:cNvSpPr/>
      </xdr:nvSpPr>
      <xdr:spPr>
        <a:xfrm>
          <a:off x="1657349" y="3714749"/>
          <a:ext cx="76200" cy="22764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twoCellAnchor>
    <xdr:from>
      <xdr:col>1</xdr:col>
      <xdr:colOff>1038225</xdr:colOff>
      <xdr:row>7</xdr:row>
      <xdr:rowOff>190500</xdr:rowOff>
    </xdr:from>
    <xdr:to>
      <xdr:col>2</xdr:col>
      <xdr:colOff>0</xdr:colOff>
      <xdr:row>18</xdr:row>
      <xdr:rowOff>171450</xdr:rowOff>
    </xdr:to>
    <xdr:sp macro="" textlink="">
      <xdr:nvSpPr>
        <xdr:cNvPr id="5" name="Parenthèse ouvrante 4"/>
        <xdr:cNvSpPr/>
      </xdr:nvSpPr>
      <xdr:spPr>
        <a:xfrm>
          <a:off x="1581150" y="2028825"/>
          <a:ext cx="152400" cy="3124200"/>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2562225</xdr:colOff>
      <xdr:row>2</xdr:row>
      <xdr:rowOff>266701</xdr:rowOff>
    </xdr:from>
    <xdr:ext cx="94257" cy="375680"/>
    <xdr:sp macro="" textlink="">
      <xdr:nvSpPr>
        <xdr:cNvPr id="6" name="ZoneTexte 5"/>
        <xdr:cNvSpPr txBox="1"/>
      </xdr:nvSpPr>
      <xdr:spPr>
        <a:xfrm>
          <a:off x="4295775" y="676276"/>
          <a:ext cx="94257" cy="375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lang="fr-FR" sz="2400"/>
            <a:t>-</a:t>
          </a:r>
        </a:p>
      </xdr:txBody>
    </xdr:sp>
    <xdr:clientData/>
  </xdr:oneCellAnchor>
  <xdr:oneCellAnchor>
    <xdr:from>
      <xdr:col>2</xdr:col>
      <xdr:colOff>2524125</xdr:colOff>
      <xdr:row>3</xdr:row>
      <xdr:rowOff>257175</xdr:rowOff>
    </xdr:from>
    <xdr:ext cx="200025" cy="285750"/>
    <xdr:sp macro="" textlink="">
      <xdr:nvSpPr>
        <xdr:cNvPr id="7" name="ZoneTexte 6"/>
        <xdr:cNvSpPr txBox="1"/>
      </xdr:nvSpPr>
      <xdr:spPr>
        <a:xfrm>
          <a:off x="4257675" y="95250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oneCellAnchor>
    <xdr:from>
      <xdr:col>2</xdr:col>
      <xdr:colOff>2257426</xdr:colOff>
      <xdr:row>4</xdr:row>
      <xdr:rowOff>257175</xdr:rowOff>
    </xdr:from>
    <xdr:ext cx="152400" cy="209550"/>
    <xdr:sp macro="" textlink="">
      <xdr:nvSpPr>
        <xdr:cNvPr id="8" name="ZoneTexte 7"/>
        <xdr:cNvSpPr txBox="1"/>
      </xdr:nvSpPr>
      <xdr:spPr>
        <a:xfrm>
          <a:off x="3990976" y="1238250"/>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X</a:t>
          </a:r>
        </a:p>
      </xdr:txBody>
    </xdr:sp>
    <xdr:clientData/>
  </xdr:oneCellAnchor>
  <xdr:twoCellAnchor>
    <xdr:from>
      <xdr:col>2</xdr:col>
      <xdr:colOff>2352675</xdr:colOff>
      <xdr:row>4</xdr:row>
      <xdr:rowOff>161926</xdr:rowOff>
    </xdr:from>
    <xdr:to>
      <xdr:col>2</xdr:col>
      <xdr:colOff>2486025</xdr:colOff>
      <xdr:row>5</xdr:row>
      <xdr:rowOff>209550</xdr:rowOff>
    </xdr:to>
    <xdr:sp macro="" textlink="">
      <xdr:nvSpPr>
        <xdr:cNvPr id="9" name="Parenthèse ouvrante 8"/>
        <xdr:cNvSpPr/>
      </xdr:nvSpPr>
      <xdr:spPr>
        <a:xfrm>
          <a:off x="4086225" y="1143001"/>
          <a:ext cx="133350" cy="333374"/>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twoCellAnchor>
    <xdr:from>
      <xdr:col>2</xdr:col>
      <xdr:colOff>2343150</xdr:colOff>
      <xdr:row>6</xdr:row>
      <xdr:rowOff>161925</xdr:rowOff>
    </xdr:from>
    <xdr:to>
      <xdr:col>2</xdr:col>
      <xdr:colOff>2466975</xdr:colOff>
      <xdr:row>7</xdr:row>
      <xdr:rowOff>133350</xdr:rowOff>
    </xdr:to>
    <xdr:sp macro="" textlink="">
      <xdr:nvSpPr>
        <xdr:cNvPr id="10" name="Parenthèse ouvrante 9"/>
        <xdr:cNvSpPr/>
      </xdr:nvSpPr>
      <xdr:spPr>
        <a:xfrm>
          <a:off x="4076700" y="1714500"/>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2505075</xdr:colOff>
      <xdr:row>5</xdr:row>
      <xdr:rowOff>190500</xdr:rowOff>
    </xdr:from>
    <xdr:ext cx="200025" cy="285750"/>
    <xdr:sp macro="" textlink="">
      <xdr:nvSpPr>
        <xdr:cNvPr id="11" name="ZoneTexte 10"/>
        <xdr:cNvSpPr txBox="1"/>
      </xdr:nvSpPr>
      <xdr:spPr>
        <a:xfrm>
          <a:off x="4238625" y="1457325"/>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oneCellAnchor>
    <xdr:from>
      <xdr:col>2</xdr:col>
      <xdr:colOff>2228850</xdr:colOff>
      <xdr:row>6</xdr:row>
      <xdr:rowOff>200025</xdr:rowOff>
    </xdr:from>
    <xdr:ext cx="152400" cy="209550"/>
    <xdr:sp macro="" textlink="">
      <xdr:nvSpPr>
        <xdr:cNvPr id="12" name="ZoneTexte 11"/>
        <xdr:cNvSpPr txBox="1"/>
      </xdr:nvSpPr>
      <xdr:spPr>
        <a:xfrm>
          <a:off x="3962400" y="1752600"/>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X</a:t>
          </a:r>
        </a:p>
      </xdr:txBody>
    </xdr:sp>
    <xdr:clientData/>
  </xdr:oneCellAnchor>
  <xdr:oneCellAnchor>
    <xdr:from>
      <xdr:col>2</xdr:col>
      <xdr:colOff>2495550</xdr:colOff>
      <xdr:row>7</xdr:row>
      <xdr:rowOff>161925</xdr:rowOff>
    </xdr:from>
    <xdr:ext cx="200025" cy="285750"/>
    <xdr:sp macro="" textlink="">
      <xdr:nvSpPr>
        <xdr:cNvPr id="13" name="ZoneTexte 12"/>
        <xdr:cNvSpPr txBox="1"/>
      </xdr:nvSpPr>
      <xdr:spPr>
        <a:xfrm>
          <a:off x="4229100" y="20002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2533650</xdr:colOff>
      <xdr:row>9</xdr:row>
      <xdr:rowOff>209550</xdr:rowOff>
    </xdr:from>
    <xdr:to>
      <xdr:col>2</xdr:col>
      <xdr:colOff>2657475</xdr:colOff>
      <xdr:row>10</xdr:row>
      <xdr:rowOff>180975</xdr:rowOff>
    </xdr:to>
    <xdr:sp macro="" textlink="">
      <xdr:nvSpPr>
        <xdr:cNvPr id="14" name="Parenthèse ouvrante 13"/>
        <xdr:cNvSpPr/>
      </xdr:nvSpPr>
      <xdr:spPr>
        <a:xfrm>
          <a:off x="4267200" y="261937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2419350</xdr:colOff>
      <xdr:row>9</xdr:row>
      <xdr:rowOff>247650</xdr:rowOff>
    </xdr:from>
    <xdr:ext cx="152400" cy="209550"/>
    <xdr:sp macro="" textlink="">
      <xdr:nvSpPr>
        <xdr:cNvPr id="15" name="ZoneTexte 14"/>
        <xdr:cNvSpPr txBox="1"/>
      </xdr:nvSpPr>
      <xdr:spPr>
        <a:xfrm>
          <a:off x="4152900" y="265747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X</a:t>
          </a:r>
        </a:p>
      </xdr:txBody>
    </xdr:sp>
    <xdr:clientData/>
  </xdr:oneCellAnchor>
  <xdr:oneCellAnchor>
    <xdr:from>
      <xdr:col>2</xdr:col>
      <xdr:colOff>2524125</xdr:colOff>
      <xdr:row>10</xdr:row>
      <xdr:rowOff>180975</xdr:rowOff>
    </xdr:from>
    <xdr:ext cx="200025" cy="285750"/>
    <xdr:sp macro="" textlink="">
      <xdr:nvSpPr>
        <xdr:cNvPr id="16" name="ZoneTexte 15"/>
        <xdr:cNvSpPr txBox="1"/>
      </xdr:nvSpPr>
      <xdr:spPr>
        <a:xfrm>
          <a:off x="4257675" y="28765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2524125</xdr:colOff>
      <xdr:row>11</xdr:row>
      <xdr:rowOff>209550</xdr:rowOff>
    </xdr:from>
    <xdr:to>
      <xdr:col>2</xdr:col>
      <xdr:colOff>2647950</xdr:colOff>
      <xdr:row>12</xdr:row>
      <xdr:rowOff>180975</xdr:rowOff>
    </xdr:to>
    <xdr:sp macro="" textlink="">
      <xdr:nvSpPr>
        <xdr:cNvPr id="17" name="Parenthèse ouvrante 16"/>
        <xdr:cNvSpPr/>
      </xdr:nvSpPr>
      <xdr:spPr>
        <a:xfrm>
          <a:off x="4257675" y="319087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2409825</xdr:colOff>
      <xdr:row>11</xdr:row>
      <xdr:rowOff>247650</xdr:rowOff>
    </xdr:from>
    <xdr:ext cx="152400" cy="209550"/>
    <xdr:sp macro="" textlink="">
      <xdr:nvSpPr>
        <xdr:cNvPr id="18" name="ZoneTexte 17"/>
        <xdr:cNvSpPr txBox="1"/>
      </xdr:nvSpPr>
      <xdr:spPr>
        <a:xfrm>
          <a:off x="4143375" y="322897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a:t>
          </a:r>
        </a:p>
      </xdr:txBody>
    </xdr:sp>
    <xdr:clientData/>
  </xdr:oneCellAnchor>
  <xdr:oneCellAnchor>
    <xdr:from>
      <xdr:col>2</xdr:col>
      <xdr:colOff>2533650</xdr:colOff>
      <xdr:row>12</xdr:row>
      <xdr:rowOff>180975</xdr:rowOff>
    </xdr:from>
    <xdr:ext cx="200025" cy="285750"/>
    <xdr:sp macro="" textlink="">
      <xdr:nvSpPr>
        <xdr:cNvPr id="19" name="ZoneTexte 18"/>
        <xdr:cNvSpPr txBox="1"/>
      </xdr:nvSpPr>
      <xdr:spPr>
        <a:xfrm>
          <a:off x="4267200" y="34480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2533650</xdr:colOff>
      <xdr:row>13</xdr:row>
      <xdr:rowOff>190500</xdr:rowOff>
    </xdr:from>
    <xdr:to>
      <xdr:col>2</xdr:col>
      <xdr:colOff>2657475</xdr:colOff>
      <xdr:row>14</xdr:row>
      <xdr:rowOff>161925</xdr:rowOff>
    </xdr:to>
    <xdr:sp macro="" textlink="">
      <xdr:nvSpPr>
        <xdr:cNvPr id="20" name="Parenthèse ouvrante 19"/>
        <xdr:cNvSpPr/>
      </xdr:nvSpPr>
      <xdr:spPr>
        <a:xfrm>
          <a:off x="4267200" y="374332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2447925</xdr:colOff>
      <xdr:row>13</xdr:row>
      <xdr:rowOff>228600</xdr:rowOff>
    </xdr:from>
    <xdr:ext cx="152400" cy="209550"/>
    <xdr:sp macro="" textlink="">
      <xdr:nvSpPr>
        <xdr:cNvPr id="21" name="ZoneTexte 20"/>
        <xdr:cNvSpPr txBox="1"/>
      </xdr:nvSpPr>
      <xdr:spPr>
        <a:xfrm>
          <a:off x="4181475" y="378142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600"/>
            <a:t>:</a:t>
          </a:r>
        </a:p>
      </xdr:txBody>
    </xdr:sp>
    <xdr:clientData/>
  </xdr:oneCellAnchor>
  <xdr:oneCellAnchor>
    <xdr:from>
      <xdr:col>2</xdr:col>
      <xdr:colOff>2543175</xdr:colOff>
      <xdr:row>14</xdr:row>
      <xdr:rowOff>161925</xdr:rowOff>
    </xdr:from>
    <xdr:ext cx="200025" cy="285750"/>
    <xdr:sp macro="" textlink="">
      <xdr:nvSpPr>
        <xdr:cNvPr id="22" name="ZoneTexte 21"/>
        <xdr:cNvSpPr txBox="1"/>
      </xdr:nvSpPr>
      <xdr:spPr>
        <a:xfrm>
          <a:off x="4276725" y="400050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2571750</xdr:colOff>
      <xdr:row>18</xdr:row>
      <xdr:rowOff>200025</xdr:rowOff>
    </xdr:from>
    <xdr:to>
      <xdr:col>2</xdr:col>
      <xdr:colOff>2695575</xdr:colOff>
      <xdr:row>19</xdr:row>
      <xdr:rowOff>171450</xdr:rowOff>
    </xdr:to>
    <xdr:sp macro="" textlink="">
      <xdr:nvSpPr>
        <xdr:cNvPr id="23" name="Parenthèse ouvrante 22"/>
        <xdr:cNvSpPr/>
      </xdr:nvSpPr>
      <xdr:spPr>
        <a:xfrm>
          <a:off x="4305300" y="5181600"/>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2457450</xdr:colOff>
      <xdr:row>18</xdr:row>
      <xdr:rowOff>238125</xdr:rowOff>
    </xdr:from>
    <xdr:ext cx="152400" cy="209550"/>
    <xdr:sp macro="" textlink="">
      <xdr:nvSpPr>
        <xdr:cNvPr id="24" name="ZoneTexte 23"/>
        <xdr:cNvSpPr txBox="1"/>
      </xdr:nvSpPr>
      <xdr:spPr>
        <a:xfrm>
          <a:off x="4191000" y="5219700"/>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X</a:t>
          </a:r>
        </a:p>
      </xdr:txBody>
    </xdr:sp>
    <xdr:clientData/>
  </xdr:oneCellAnchor>
  <xdr:oneCellAnchor>
    <xdr:from>
      <xdr:col>2</xdr:col>
      <xdr:colOff>2562225</xdr:colOff>
      <xdr:row>19</xdr:row>
      <xdr:rowOff>171450</xdr:rowOff>
    </xdr:from>
    <xdr:ext cx="200025" cy="285750"/>
    <xdr:sp macro="" textlink="">
      <xdr:nvSpPr>
        <xdr:cNvPr id="25" name="ZoneTexte 24"/>
        <xdr:cNvSpPr txBox="1"/>
      </xdr:nvSpPr>
      <xdr:spPr>
        <a:xfrm>
          <a:off x="4295775" y="5438775"/>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2571750</xdr:colOff>
      <xdr:row>20</xdr:row>
      <xdr:rowOff>190500</xdr:rowOff>
    </xdr:from>
    <xdr:to>
      <xdr:col>2</xdr:col>
      <xdr:colOff>2695575</xdr:colOff>
      <xdr:row>21</xdr:row>
      <xdr:rowOff>161925</xdr:rowOff>
    </xdr:to>
    <xdr:sp macro="" textlink="">
      <xdr:nvSpPr>
        <xdr:cNvPr id="26" name="Parenthèse ouvrante 25"/>
        <xdr:cNvSpPr/>
      </xdr:nvSpPr>
      <xdr:spPr>
        <a:xfrm>
          <a:off x="4305300" y="574357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2457450</xdr:colOff>
      <xdr:row>20</xdr:row>
      <xdr:rowOff>228600</xdr:rowOff>
    </xdr:from>
    <xdr:ext cx="152400" cy="209550"/>
    <xdr:sp macro="" textlink="">
      <xdr:nvSpPr>
        <xdr:cNvPr id="27" name="ZoneTexte 26"/>
        <xdr:cNvSpPr txBox="1"/>
      </xdr:nvSpPr>
      <xdr:spPr>
        <a:xfrm>
          <a:off x="4191000" y="578167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X</a:t>
          </a:r>
        </a:p>
      </xdr:txBody>
    </xdr:sp>
    <xdr:clientData/>
  </xdr:oneCellAnchor>
  <xdr:oneCellAnchor>
    <xdr:from>
      <xdr:col>2</xdr:col>
      <xdr:colOff>2562225</xdr:colOff>
      <xdr:row>21</xdr:row>
      <xdr:rowOff>161925</xdr:rowOff>
    </xdr:from>
    <xdr:ext cx="200025" cy="285750"/>
    <xdr:sp macro="" textlink="">
      <xdr:nvSpPr>
        <xdr:cNvPr id="28" name="ZoneTexte 27"/>
        <xdr:cNvSpPr txBox="1"/>
      </xdr:nvSpPr>
      <xdr:spPr>
        <a:xfrm>
          <a:off x="4295775" y="60007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5</xdr:col>
      <xdr:colOff>0</xdr:colOff>
      <xdr:row>8</xdr:row>
      <xdr:rowOff>142874</xdr:rowOff>
    </xdr:from>
    <xdr:to>
      <xdr:col>6</xdr:col>
      <xdr:colOff>171450</xdr:colOff>
      <xdr:row>23</xdr:row>
      <xdr:rowOff>161925</xdr:rowOff>
    </xdr:to>
    <xdr:sp macro="" textlink="">
      <xdr:nvSpPr>
        <xdr:cNvPr id="29" name="Parenthèse ouvrante 28"/>
        <xdr:cNvSpPr/>
      </xdr:nvSpPr>
      <xdr:spPr>
        <a:xfrm flipH="1">
          <a:off x="5572125" y="2266949"/>
          <a:ext cx="323850" cy="4305301"/>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twoCellAnchor>
    <xdr:from>
      <xdr:col>2</xdr:col>
      <xdr:colOff>2562225</xdr:colOff>
      <xdr:row>22</xdr:row>
      <xdr:rowOff>190500</xdr:rowOff>
    </xdr:from>
    <xdr:to>
      <xdr:col>2</xdr:col>
      <xdr:colOff>2686050</xdr:colOff>
      <xdr:row>23</xdr:row>
      <xdr:rowOff>161925</xdr:rowOff>
    </xdr:to>
    <xdr:sp macro="" textlink="">
      <xdr:nvSpPr>
        <xdr:cNvPr id="30" name="Parenthèse ouvrante 29"/>
        <xdr:cNvSpPr/>
      </xdr:nvSpPr>
      <xdr:spPr>
        <a:xfrm>
          <a:off x="4295775" y="631507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2447925</xdr:colOff>
      <xdr:row>22</xdr:row>
      <xdr:rowOff>228600</xdr:rowOff>
    </xdr:from>
    <xdr:ext cx="152400" cy="209550"/>
    <xdr:sp macro="" textlink="">
      <xdr:nvSpPr>
        <xdr:cNvPr id="31" name="ZoneTexte 30"/>
        <xdr:cNvSpPr txBox="1"/>
      </xdr:nvSpPr>
      <xdr:spPr>
        <a:xfrm>
          <a:off x="4181475" y="635317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800"/>
            <a:t>-</a:t>
          </a:r>
        </a:p>
      </xdr:txBody>
    </xdr:sp>
    <xdr:clientData/>
  </xdr:oneCellAnchor>
  <xdr:oneCellAnchor>
    <xdr:from>
      <xdr:col>2</xdr:col>
      <xdr:colOff>2552700</xdr:colOff>
      <xdr:row>23</xdr:row>
      <xdr:rowOff>161925</xdr:rowOff>
    </xdr:from>
    <xdr:ext cx="200025" cy="285750"/>
    <xdr:sp macro="" textlink="">
      <xdr:nvSpPr>
        <xdr:cNvPr id="32" name="ZoneTexte 31"/>
        <xdr:cNvSpPr txBox="1"/>
      </xdr:nvSpPr>
      <xdr:spPr>
        <a:xfrm>
          <a:off x="4286250" y="65722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5</xdr:col>
      <xdr:colOff>57148</xdr:colOff>
      <xdr:row>13</xdr:row>
      <xdr:rowOff>142875</xdr:rowOff>
    </xdr:from>
    <xdr:to>
      <xdr:col>6</xdr:col>
      <xdr:colOff>66675</xdr:colOff>
      <xdr:row>21</xdr:row>
      <xdr:rowOff>171450</xdr:rowOff>
    </xdr:to>
    <xdr:sp macro="" textlink="">
      <xdr:nvSpPr>
        <xdr:cNvPr id="33" name="Parenthèse ouvrante 32"/>
        <xdr:cNvSpPr/>
      </xdr:nvSpPr>
      <xdr:spPr>
        <a:xfrm flipH="1">
          <a:off x="5629273" y="3695700"/>
          <a:ext cx="161927" cy="2314575"/>
        </a:xfrm>
        <a:prstGeom prst="leftBracket">
          <a:avLst/>
        </a:prstGeom>
        <a:ln>
          <a:solidFill>
            <a:srgbClr val="009999"/>
          </a:solidFill>
        </a:ln>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twoCellAnchor>
    <xdr:from>
      <xdr:col>2</xdr:col>
      <xdr:colOff>2543175</xdr:colOff>
      <xdr:row>28</xdr:row>
      <xdr:rowOff>219075</xdr:rowOff>
    </xdr:from>
    <xdr:to>
      <xdr:col>2</xdr:col>
      <xdr:colOff>2667000</xdr:colOff>
      <xdr:row>29</xdr:row>
      <xdr:rowOff>190500</xdr:rowOff>
    </xdr:to>
    <xdr:sp macro="" textlink="">
      <xdr:nvSpPr>
        <xdr:cNvPr id="34" name="Parenthèse ouvrante 33"/>
        <xdr:cNvSpPr/>
      </xdr:nvSpPr>
      <xdr:spPr>
        <a:xfrm>
          <a:off x="4276725" y="8058150"/>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2457450</xdr:colOff>
      <xdr:row>28</xdr:row>
      <xdr:rowOff>257175</xdr:rowOff>
    </xdr:from>
    <xdr:ext cx="152400" cy="209550"/>
    <xdr:sp macro="" textlink="">
      <xdr:nvSpPr>
        <xdr:cNvPr id="35" name="ZoneTexte 34"/>
        <xdr:cNvSpPr txBox="1"/>
      </xdr:nvSpPr>
      <xdr:spPr>
        <a:xfrm>
          <a:off x="4191000" y="8096250"/>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600"/>
            <a:t>:</a:t>
          </a:r>
        </a:p>
      </xdr:txBody>
    </xdr:sp>
    <xdr:clientData/>
  </xdr:oneCellAnchor>
  <xdr:oneCellAnchor>
    <xdr:from>
      <xdr:col>2</xdr:col>
      <xdr:colOff>2552700</xdr:colOff>
      <xdr:row>29</xdr:row>
      <xdr:rowOff>190500</xdr:rowOff>
    </xdr:from>
    <xdr:ext cx="200025" cy="285750"/>
    <xdr:sp macro="" textlink="">
      <xdr:nvSpPr>
        <xdr:cNvPr id="36" name="ZoneTexte 35"/>
        <xdr:cNvSpPr txBox="1"/>
      </xdr:nvSpPr>
      <xdr:spPr>
        <a:xfrm>
          <a:off x="4286250" y="8315325"/>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2</xdr:col>
      <xdr:colOff>2552700</xdr:colOff>
      <xdr:row>30</xdr:row>
      <xdr:rowOff>209550</xdr:rowOff>
    </xdr:from>
    <xdr:to>
      <xdr:col>2</xdr:col>
      <xdr:colOff>2676525</xdr:colOff>
      <xdr:row>31</xdr:row>
      <xdr:rowOff>180975</xdr:rowOff>
    </xdr:to>
    <xdr:sp macro="" textlink="">
      <xdr:nvSpPr>
        <xdr:cNvPr id="37" name="Parenthèse ouvrante 36"/>
        <xdr:cNvSpPr/>
      </xdr:nvSpPr>
      <xdr:spPr>
        <a:xfrm>
          <a:off x="4293177" y="8617527"/>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2438400</xdr:colOff>
      <xdr:row>30</xdr:row>
      <xdr:rowOff>247650</xdr:rowOff>
    </xdr:from>
    <xdr:ext cx="152400" cy="209550"/>
    <xdr:sp macro="" textlink="">
      <xdr:nvSpPr>
        <xdr:cNvPr id="38" name="ZoneTexte 37"/>
        <xdr:cNvSpPr txBox="1"/>
      </xdr:nvSpPr>
      <xdr:spPr>
        <a:xfrm>
          <a:off x="4171950" y="865822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100"/>
            <a:t>+</a:t>
          </a:r>
        </a:p>
      </xdr:txBody>
    </xdr:sp>
    <xdr:clientData/>
  </xdr:oneCellAnchor>
  <xdr:oneCellAnchor>
    <xdr:from>
      <xdr:col>2</xdr:col>
      <xdr:colOff>2562225</xdr:colOff>
      <xdr:row>31</xdr:row>
      <xdr:rowOff>180975</xdr:rowOff>
    </xdr:from>
    <xdr:ext cx="200025" cy="285750"/>
    <xdr:sp macro="" textlink="">
      <xdr:nvSpPr>
        <xdr:cNvPr id="39" name="ZoneTexte 38"/>
        <xdr:cNvSpPr txBox="1"/>
      </xdr:nvSpPr>
      <xdr:spPr>
        <a:xfrm>
          <a:off x="4295775" y="887730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twoCellAnchor>
    <xdr:from>
      <xdr:col>0</xdr:col>
      <xdr:colOff>57150</xdr:colOff>
      <xdr:row>4</xdr:row>
      <xdr:rowOff>57150</xdr:rowOff>
    </xdr:from>
    <xdr:to>
      <xdr:col>0</xdr:col>
      <xdr:colOff>371475</xdr:colOff>
      <xdr:row>4</xdr:row>
      <xdr:rowOff>257175</xdr:rowOff>
    </xdr:to>
    <xdr:sp macro="" textlink="">
      <xdr:nvSpPr>
        <xdr:cNvPr id="40" name="ZoneTexte 39"/>
        <xdr:cNvSpPr txBox="1"/>
      </xdr:nvSpPr>
      <xdr:spPr>
        <a:xfrm>
          <a:off x="57150" y="1038225"/>
          <a:ext cx="3143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100"/>
            <a:t>Date:</a:t>
          </a:r>
        </a:p>
      </xdr:txBody>
    </xdr:sp>
    <xdr:clientData/>
  </xdr:twoCellAnchor>
  <xdr:twoCellAnchor>
    <xdr:from>
      <xdr:col>0</xdr:col>
      <xdr:colOff>114300</xdr:colOff>
      <xdr:row>5</xdr:row>
      <xdr:rowOff>57150</xdr:rowOff>
    </xdr:from>
    <xdr:to>
      <xdr:col>0</xdr:col>
      <xdr:colOff>581025</xdr:colOff>
      <xdr:row>5</xdr:row>
      <xdr:rowOff>276225</xdr:rowOff>
    </xdr:to>
    <xdr:sp macro="" textlink="">
      <xdr:nvSpPr>
        <xdr:cNvPr id="41" name="ZoneTexte 40"/>
        <xdr:cNvSpPr txBox="1"/>
      </xdr:nvSpPr>
      <xdr:spPr>
        <a:xfrm>
          <a:off x="114300" y="1323975"/>
          <a:ext cx="4286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100"/>
            <a:t>Levure:</a:t>
          </a:r>
        </a:p>
      </xdr:txBody>
    </xdr:sp>
    <xdr:clientData/>
  </xdr:twoCellAnchor>
  <xdr:twoCellAnchor>
    <xdr:from>
      <xdr:col>2</xdr:col>
      <xdr:colOff>47626</xdr:colOff>
      <xdr:row>18</xdr:row>
      <xdr:rowOff>57150</xdr:rowOff>
    </xdr:from>
    <xdr:to>
      <xdr:col>2</xdr:col>
      <xdr:colOff>990600</xdr:colOff>
      <xdr:row>18</xdr:row>
      <xdr:rowOff>238125</xdr:rowOff>
    </xdr:to>
    <xdr:sp macro="" textlink="">
      <xdr:nvSpPr>
        <xdr:cNvPr id="42" name="ZoneTexte 41"/>
        <xdr:cNvSpPr txBox="1"/>
      </xdr:nvSpPr>
      <xdr:spPr>
        <a:xfrm>
          <a:off x="1781176" y="5038725"/>
          <a:ext cx="9429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fr-FR" sz="1100"/>
            <a:t>Litres de jus de:</a:t>
          </a:r>
        </a:p>
      </xdr:txBody>
    </xdr:sp>
    <xdr:clientData/>
  </xdr:twoCellAnchor>
  <xdr:twoCellAnchor>
    <xdr:from>
      <xdr:col>4</xdr:col>
      <xdr:colOff>89625</xdr:colOff>
      <xdr:row>2</xdr:row>
      <xdr:rowOff>113325</xdr:rowOff>
    </xdr:from>
    <xdr:to>
      <xdr:col>6</xdr:col>
      <xdr:colOff>361950</xdr:colOff>
      <xdr:row>17</xdr:row>
      <xdr:rowOff>219075</xdr:rowOff>
    </xdr:to>
    <xdr:cxnSp macro="">
      <xdr:nvCxnSpPr>
        <xdr:cNvPr id="43" name="Connecteur en angle 42"/>
        <xdr:cNvCxnSpPr/>
      </xdr:nvCxnSpPr>
      <xdr:spPr>
        <a:xfrm rot="10800000" flipV="1">
          <a:off x="5366475" y="522900"/>
          <a:ext cx="720000" cy="4392000"/>
        </a:xfrm>
        <a:prstGeom prst="bentConnector3">
          <a:avLst/>
        </a:prstGeom>
        <a:ln w="2222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258907</xdr:colOff>
      <xdr:row>2</xdr:row>
      <xdr:rowOff>142288</xdr:rowOff>
    </xdr:from>
    <xdr:to>
      <xdr:col>27</xdr:col>
      <xdr:colOff>207382</xdr:colOff>
      <xdr:row>17</xdr:row>
      <xdr:rowOff>140038</xdr:rowOff>
    </xdr:to>
    <xdr:cxnSp macro="">
      <xdr:nvCxnSpPr>
        <xdr:cNvPr id="44" name="Connecteur en angle 43"/>
        <xdr:cNvCxnSpPr/>
      </xdr:nvCxnSpPr>
      <xdr:spPr>
        <a:xfrm rot="10800000" flipH="1" flipV="1">
          <a:off x="13022407" y="549265"/>
          <a:ext cx="719134" cy="4284000"/>
        </a:xfrm>
        <a:prstGeom prst="bentConnector3">
          <a:avLst>
            <a:gd name="adj1" fmla="val 73813"/>
          </a:avLst>
        </a:prstGeom>
        <a:ln w="22225">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2</xdr:row>
      <xdr:rowOff>142875</xdr:rowOff>
    </xdr:from>
    <xdr:to>
      <xdr:col>25</xdr:col>
      <xdr:colOff>285751</xdr:colOff>
      <xdr:row>2</xdr:row>
      <xdr:rowOff>152400</xdr:rowOff>
    </xdr:to>
    <xdr:cxnSp macro="">
      <xdr:nvCxnSpPr>
        <xdr:cNvPr id="45" name="Connecteur droit avec flèche 44"/>
        <xdr:cNvCxnSpPr/>
      </xdr:nvCxnSpPr>
      <xdr:spPr>
        <a:xfrm flipH="1">
          <a:off x="12163425" y="552450"/>
          <a:ext cx="933451" cy="9525"/>
        </a:xfrm>
        <a:prstGeom prst="straightConnector1">
          <a:avLst/>
        </a:prstGeom>
        <a:ln w="15875">
          <a:solidFill>
            <a:srgbClr val="FF0000"/>
          </a:solidFill>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2581275</xdr:colOff>
      <xdr:row>24</xdr:row>
      <xdr:rowOff>171450</xdr:rowOff>
    </xdr:from>
    <xdr:to>
      <xdr:col>3</xdr:col>
      <xdr:colOff>0</xdr:colOff>
      <xdr:row>25</xdr:row>
      <xdr:rowOff>142875</xdr:rowOff>
    </xdr:to>
    <xdr:sp macro="" textlink="">
      <xdr:nvSpPr>
        <xdr:cNvPr id="46" name="Parenthèse ouvrante 45"/>
        <xdr:cNvSpPr/>
      </xdr:nvSpPr>
      <xdr:spPr>
        <a:xfrm>
          <a:off x="4314825" y="6867525"/>
          <a:ext cx="123825" cy="2571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2476500</xdr:colOff>
      <xdr:row>24</xdr:row>
      <xdr:rowOff>171450</xdr:rowOff>
    </xdr:from>
    <xdr:ext cx="152400" cy="209550"/>
    <xdr:sp macro="" textlink="">
      <xdr:nvSpPr>
        <xdr:cNvPr id="47" name="ZoneTexte 46"/>
        <xdr:cNvSpPr txBox="1"/>
      </xdr:nvSpPr>
      <xdr:spPr>
        <a:xfrm>
          <a:off x="4210050" y="6867525"/>
          <a:ext cx="152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800"/>
            <a:t>-</a:t>
          </a:r>
        </a:p>
      </xdr:txBody>
    </xdr:sp>
    <xdr:clientData/>
  </xdr:oneCellAnchor>
  <xdr:oneCellAnchor>
    <xdr:from>
      <xdr:col>2</xdr:col>
      <xdr:colOff>2533650</xdr:colOff>
      <xdr:row>25</xdr:row>
      <xdr:rowOff>200025</xdr:rowOff>
    </xdr:from>
    <xdr:ext cx="200025" cy="285750"/>
    <xdr:sp macro="" textlink="">
      <xdr:nvSpPr>
        <xdr:cNvPr id="48" name="ZoneTexte 47"/>
        <xdr:cNvSpPr txBox="1"/>
      </xdr:nvSpPr>
      <xdr:spPr>
        <a:xfrm>
          <a:off x="4267200" y="7181850"/>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2400"/>
            <a:t>=</a:t>
          </a:r>
        </a:p>
      </xdr:txBody>
    </xdr:sp>
    <xdr:clientData/>
  </xdr:oneCellAnchor>
  <xdr:oneCellAnchor>
    <xdr:from>
      <xdr:col>2</xdr:col>
      <xdr:colOff>2400300</xdr:colOff>
      <xdr:row>26</xdr:row>
      <xdr:rowOff>238125</xdr:rowOff>
    </xdr:from>
    <xdr:ext cx="266700" cy="200025"/>
    <xdr:sp macro="" textlink="">
      <xdr:nvSpPr>
        <xdr:cNvPr id="49" name="ZoneTexte 48"/>
        <xdr:cNvSpPr txBox="1"/>
      </xdr:nvSpPr>
      <xdr:spPr>
        <a:xfrm>
          <a:off x="4133850" y="7505700"/>
          <a:ext cx="2667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600"/>
            <a:t>:</a:t>
          </a:r>
          <a:r>
            <a:rPr lang="fr-FR" sz="1200"/>
            <a:t>4</a:t>
          </a:r>
        </a:p>
      </xdr:txBody>
    </xdr:sp>
    <xdr:clientData/>
  </xdr:oneCellAnchor>
  <xdr:twoCellAnchor>
    <xdr:from>
      <xdr:col>2</xdr:col>
      <xdr:colOff>2562225</xdr:colOff>
      <xdr:row>26</xdr:row>
      <xdr:rowOff>190500</xdr:rowOff>
    </xdr:from>
    <xdr:to>
      <xdr:col>2</xdr:col>
      <xdr:colOff>2686050</xdr:colOff>
      <xdr:row>27</xdr:row>
      <xdr:rowOff>85725</xdr:rowOff>
    </xdr:to>
    <xdr:sp macro="" textlink="">
      <xdr:nvSpPr>
        <xdr:cNvPr id="50" name="Parenthèse ouvrante 49"/>
        <xdr:cNvSpPr/>
      </xdr:nvSpPr>
      <xdr:spPr>
        <a:xfrm>
          <a:off x="4295775" y="7458075"/>
          <a:ext cx="123825" cy="180975"/>
        </a:xfrm>
        <a:prstGeom prst="leftBracket">
          <a:avLst/>
        </a:prstGeom>
      </xdr:spPr>
      <xdr:style>
        <a:lnRef idx="2">
          <a:schemeClr val="accent2"/>
        </a:lnRef>
        <a:fillRef idx="0">
          <a:schemeClr val="accent2"/>
        </a:fillRef>
        <a:effectRef idx="1">
          <a:schemeClr val="accent2"/>
        </a:effectRef>
        <a:fontRef idx="minor">
          <a:schemeClr val="tx1"/>
        </a:fontRef>
      </xdr:style>
      <xdr:txBody>
        <a:bodyPr vertOverflow="clip" rtlCol="0" anchor="ctr"/>
        <a:lstStyle/>
        <a:p>
          <a:pPr algn="ctr"/>
          <a:endParaRPr lang="fr-FR" sz="1100"/>
        </a:p>
      </xdr:txBody>
    </xdr:sp>
    <xdr:clientData/>
  </xdr:twoCellAnchor>
  <xdr:oneCellAnchor>
    <xdr:from>
      <xdr:col>2</xdr:col>
      <xdr:colOff>2571750</xdr:colOff>
      <xdr:row>27</xdr:row>
      <xdr:rowOff>38100</xdr:rowOff>
    </xdr:from>
    <xdr:ext cx="200025" cy="285750"/>
    <xdr:sp macro="" textlink="">
      <xdr:nvSpPr>
        <xdr:cNvPr id="51" name="ZoneTexte 50"/>
        <xdr:cNvSpPr txBox="1"/>
      </xdr:nvSpPr>
      <xdr:spPr>
        <a:xfrm>
          <a:off x="4305300" y="7591425"/>
          <a:ext cx="2000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fr-FR" sz="1800"/>
            <a:t>=</a:t>
          </a:r>
        </a:p>
      </xdr:txBody>
    </xdr:sp>
    <xdr:clientData/>
  </xdr:oneCellAnchor>
  <xdr:twoCellAnchor>
    <xdr:from>
      <xdr:col>1</xdr:col>
      <xdr:colOff>381000</xdr:colOff>
      <xdr:row>6</xdr:row>
      <xdr:rowOff>38100</xdr:rowOff>
    </xdr:from>
    <xdr:to>
      <xdr:col>1</xdr:col>
      <xdr:colOff>685800</xdr:colOff>
      <xdr:row>7</xdr:row>
      <xdr:rowOff>0</xdr:rowOff>
    </xdr:to>
    <xdr:cxnSp macro="">
      <xdr:nvCxnSpPr>
        <xdr:cNvPr id="54" name="Connecteur droit avec flèche 53"/>
        <xdr:cNvCxnSpPr/>
      </xdr:nvCxnSpPr>
      <xdr:spPr>
        <a:xfrm flipV="1">
          <a:off x="923925" y="1590675"/>
          <a:ext cx="304800" cy="24765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102577</xdr:colOff>
      <xdr:row>17</xdr:row>
      <xdr:rowOff>198359</xdr:rowOff>
    </xdr:from>
    <xdr:to>
      <xdr:col>11</xdr:col>
      <xdr:colOff>38728</xdr:colOff>
      <xdr:row>20</xdr:row>
      <xdr:rowOff>75374</xdr:rowOff>
    </xdr:to>
    <xdr:sp macro="" textlink="">
      <xdr:nvSpPr>
        <xdr:cNvPr id="3" name="Demi-tour 2"/>
        <xdr:cNvSpPr/>
      </xdr:nvSpPr>
      <xdr:spPr>
        <a:xfrm rot="5400000">
          <a:off x="3550154" y="3476897"/>
          <a:ext cx="419207" cy="353786"/>
        </a:xfrm>
        <a:prstGeom prst="uturnArrow">
          <a:avLst>
            <a:gd name="adj1" fmla="val 13524"/>
            <a:gd name="adj2" fmla="val 25000"/>
            <a:gd name="adj3" fmla="val 25000"/>
            <a:gd name="adj4" fmla="val 43750"/>
            <a:gd name="adj5" fmla="val 75000"/>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BE" sz="1100">
            <a:solidFill>
              <a:schemeClr val="tx1"/>
            </a:solidFill>
          </a:endParaRPr>
        </a:p>
      </xdr:txBody>
    </xdr:sp>
    <xdr:clientData/>
  </xdr:twoCellAnchor>
  <xdr:twoCellAnchor>
    <xdr:from>
      <xdr:col>7</xdr:col>
      <xdr:colOff>5859</xdr:colOff>
      <xdr:row>17</xdr:row>
      <xdr:rowOff>189566</xdr:rowOff>
    </xdr:from>
    <xdr:to>
      <xdr:col>8</xdr:col>
      <xdr:colOff>147165</xdr:colOff>
      <xdr:row>19</xdr:row>
      <xdr:rowOff>183177</xdr:rowOff>
    </xdr:to>
    <xdr:sp macro="" textlink="">
      <xdr:nvSpPr>
        <xdr:cNvPr id="5" name="Demi-tour 4"/>
        <xdr:cNvSpPr/>
      </xdr:nvSpPr>
      <xdr:spPr>
        <a:xfrm rot="5400000">
          <a:off x="2431649" y="3427488"/>
          <a:ext cx="337976" cy="353786"/>
        </a:xfrm>
        <a:prstGeom prst="uturnArrow">
          <a:avLst>
            <a:gd name="adj1" fmla="val 13524"/>
            <a:gd name="adj2" fmla="val 25000"/>
            <a:gd name="adj3" fmla="val 25000"/>
            <a:gd name="adj4" fmla="val 43750"/>
            <a:gd name="adj5" fmla="val 75000"/>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BE"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57141</xdr:colOff>
      <xdr:row>8</xdr:row>
      <xdr:rowOff>66675</xdr:rowOff>
    </xdr:from>
    <xdr:to>
      <xdr:col>2</xdr:col>
      <xdr:colOff>581022</xdr:colOff>
      <xdr:row>14</xdr:row>
      <xdr:rowOff>19050</xdr:rowOff>
    </xdr:to>
    <xdr:sp macro="" textlink="">
      <xdr:nvSpPr>
        <xdr:cNvPr id="8" name="Flèche courbée vers la gauche 7"/>
        <xdr:cNvSpPr/>
      </xdr:nvSpPr>
      <xdr:spPr>
        <a:xfrm flipH="1">
          <a:off x="671657" y="1764276"/>
          <a:ext cx="523881" cy="1189089"/>
        </a:xfrm>
        <a:prstGeom prst="curvedLeftArrow">
          <a:avLst>
            <a:gd name="adj1" fmla="val 39870"/>
            <a:gd name="adj2" fmla="val 50000"/>
            <a:gd name="adj3" fmla="val 22067"/>
          </a:avLst>
        </a:prstGeom>
        <a:gradFill>
          <a:gsLst>
            <a:gs pos="0">
              <a:srgbClr val="00C7CC"/>
            </a:gs>
            <a:gs pos="25000">
              <a:srgbClr val="21D6E0"/>
            </a:gs>
            <a:gs pos="75000">
              <a:srgbClr val="0087E6"/>
            </a:gs>
            <a:gs pos="100000">
              <a:srgbClr val="005CBF"/>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580159</xdr:colOff>
      <xdr:row>8</xdr:row>
      <xdr:rowOff>65812</xdr:rowOff>
    </xdr:from>
    <xdr:to>
      <xdr:col>4</xdr:col>
      <xdr:colOff>872836</xdr:colOff>
      <xdr:row>9</xdr:row>
      <xdr:rowOff>82262</xdr:rowOff>
    </xdr:to>
    <xdr:sp macro="" textlink="">
      <xdr:nvSpPr>
        <xdr:cNvPr id="11" name="Organigramme : Processus 10"/>
        <xdr:cNvSpPr/>
      </xdr:nvSpPr>
      <xdr:spPr>
        <a:xfrm>
          <a:off x="1194675" y="1763413"/>
          <a:ext cx="1414169" cy="216168"/>
        </a:xfrm>
        <a:prstGeom prst="flowChartProcess">
          <a:avLst/>
        </a:prstGeom>
        <a:gradFill flip="none" rotWithShape="1">
          <a:gsLst>
            <a:gs pos="0">
              <a:srgbClr val="00A4A0"/>
            </a:gs>
            <a:gs pos="25000">
              <a:srgbClr val="00D2AA"/>
            </a:gs>
            <a:gs pos="75000">
              <a:srgbClr val="00FFCC"/>
            </a:gs>
            <a:gs pos="100000">
              <a:srgbClr val="66FFCC"/>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mc:AlternateContent xmlns:mc="http://schemas.openxmlformats.org/markup-compatibility/2006">
    <mc:Choice xmlns:a14="http://schemas.microsoft.com/office/drawing/2010/main" Requires="a14">
      <xdr:twoCellAnchor editAs="oneCell">
        <xdr:from>
          <xdr:col>4</xdr:col>
          <xdr:colOff>885825</xdr:colOff>
          <xdr:row>7</xdr:row>
          <xdr:rowOff>190500</xdr:rowOff>
        </xdr:from>
        <xdr:to>
          <xdr:col>6</xdr:col>
          <xdr:colOff>219075</xdr:colOff>
          <xdr:row>9</xdr:row>
          <xdr:rowOff>95250</xdr:rowOff>
        </xdr:to>
        <xdr:sp macro="" textlink="">
          <xdr:nvSpPr>
            <xdr:cNvPr id="7170" name="Drop Down 2" hidden="1">
              <a:extLst>
                <a:ext uri="{63B3BB69-23CF-44E3-9099-C40C66FF867C}">
                  <a14:compatExt spid="_x0000_s7170"/>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19050</xdr:colOff>
      <xdr:row>4</xdr:row>
      <xdr:rowOff>0</xdr:rowOff>
    </xdr:from>
    <xdr:to>
      <xdr:col>5</xdr:col>
      <xdr:colOff>0</xdr:colOff>
      <xdr:row>5</xdr:row>
      <xdr:rowOff>9525</xdr:rowOff>
    </xdr:to>
    <xdr:sp macro="" textlink="">
      <xdr:nvSpPr>
        <xdr:cNvPr id="2" name="Line 1"/>
        <xdr:cNvSpPr>
          <a:spLocks noChangeShapeType="1"/>
        </xdr:cNvSpPr>
      </xdr:nvSpPr>
      <xdr:spPr bwMode="auto">
        <a:xfrm>
          <a:off x="2190750" y="1581150"/>
          <a:ext cx="590550" cy="4667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600075</xdr:colOff>
      <xdr:row>5</xdr:row>
      <xdr:rowOff>514350</xdr:rowOff>
    </xdr:from>
    <xdr:to>
      <xdr:col>6</xdr:col>
      <xdr:colOff>742950</xdr:colOff>
      <xdr:row>6</xdr:row>
      <xdr:rowOff>466725</xdr:rowOff>
    </xdr:to>
    <xdr:sp macro="" textlink="">
      <xdr:nvSpPr>
        <xdr:cNvPr id="3" name="Line 2"/>
        <xdr:cNvSpPr>
          <a:spLocks noChangeShapeType="1"/>
        </xdr:cNvSpPr>
      </xdr:nvSpPr>
      <xdr:spPr bwMode="auto">
        <a:xfrm>
          <a:off x="3381375" y="2552700"/>
          <a:ext cx="647700" cy="4762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xdr:row>
      <xdr:rowOff>9525</xdr:rowOff>
    </xdr:from>
    <xdr:to>
      <xdr:col>6</xdr:col>
      <xdr:colOff>628650</xdr:colOff>
      <xdr:row>5</xdr:row>
      <xdr:rowOff>0</xdr:rowOff>
    </xdr:to>
    <xdr:sp macro="" textlink="">
      <xdr:nvSpPr>
        <xdr:cNvPr id="4" name="Line 3"/>
        <xdr:cNvSpPr>
          <a:spLocks noChangeShapeType="1"/>
        </xdr:cNvSpPr>
      </xdr:nvSpPr>
      <xdr:spPr bwMode="auto">
        <a:xfrm flipH="1">
          <a:off x="3819525" y="1047750"/>
          <a:ext cx="619125" cy="1905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5</xdr:row>
      <xdr:rowOff>514350</xdr:rowOff>
    </xdr:from>
    <xdr:to>
      <xdr:col>5</xdr:col>
      <xdr:colOff>0</xdr:colOff>
      <xdr:row>7</xdr:row>
      <xdr:rowOff>0</xdr:rowOff>
    </xdr:to>
    <xdr:sp macro="" textlink="">
      <xdr:nvSpPr>
        <xdr:cNvPr id="5" name="Line 4"/>
        <xdr:cNvSpPr>
          <a:spLocks noChangeShapeType="1"/>
        </xdr:cNvSpPr>
      </xdr:nvSpPr>
      <xdr:spPr bwMode="auto">
        <a:xfrm flipH="1">
          <a:off x="2190750" y="2552700"/>
          <a:ext cx="590550" cy="48577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5</xdr:row>
      <xdr:rowOff>295275</xdr:rowOff>
    </xdr:from>
    <xdr:to>
      <xdr:col>4</xdr:col>
      <xdr:colOff>542925</xdr:colOff>
      <xdr:row>5</xdr:row>
      <xdr:rowOff>304800</xdr:rowOff>
    </xdr:to>
    <xdr:sp macro="" textlink="">
      <xdr:nvSpPr>
        <xdr:cNvPr id="6" name="Line 5"/>
        <xdr:cNvSpPr>
          <a:spLocks noChangeShapeType="1"/>
        </xdr:cNvSpPr>
      </xdr:nvSpPr>
      <xdr:spPr bwMode="auto">
        <a:xfrm flipV="1">
          <a:off x="1257300" y="2333625"/>
          <a:ext cx="1457325" cy="9525"/>
        </a:xfrm>
        <a:prstGeom prst="line">
          <a:avLst/>
        </a:prstGeom>
        <a:noFill/>
        <a:ln w="28575">
          <a:solidFill>
            <a:srgbClr xmlns:mc="http://schemas.openxmlformats.org/markup-compatibility/2006" xmlns:a14="http://schemas.microsoft.com/office/drawing/2010/main" val="00FF00" mc:Ignorable="a14" a14:legacySpreadsheetColorIndex="1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228600</xdr:colOff>
      <xdr:row>10</xdr:row>
      <xdr:rowOff>161925</xdr:rowOff>
    </xdr:from>
    <xdr:to>
      <xdr:col>6</xdr:col>
      <xdr:colOff>657225</xdr:colOff>
      <xdr:row>12</xdr:row>
      <xdr:rowOff>0</xdr:rowOff>
    </xdr:to>
    <xdr:sp macro="" textlink="">
      <xdr:nvSpPr>
        <xdr:cNvPr id="7" name="ZoneTexte 6"/>
        <xdr:cNvSpPr txBox="1"/>
      </xdr:nvSpPr>
      <xdr:spPr>
        <a:xfrm>
          <a:off x="4038600" y="2886075"/>
          <a:ext cx="428625" cy="238125"/>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r-BE" sz="1100"/>
            <a:t>Total</a:t>
          </a:r>
        </a:p>
      </xdr:txBody>
    </xdr:sp>
    <xdr:clientData/>
  </xdr:twoCellAnchor>
  <xdr:twoCellAnchor>
    <xdr:from>
      <xdr:col>7</xdr:col>
      <xdr:colOff>609599</xdr:colOff>
      <xdr:row>10</xdr:row>
      <xdr:rowOff>200024</xdr:rowOff>
    </xdr:from>
    <xdr:to>
      <xdr:col>8</xdr:col>
      <xdr:colOff>9524</xdr:colOff>
      <xdr:row>11</xdr:row>
      <xdr:rowOff>197999</xdr:rowOff>
    </xdr:to>
    <xdr:sp macro="" textlink="">
      <xdr:nvSpPr>
        <xdr:cNvPr id="8" name="ZoneTexte 7"/>
        <xdr:cNvSpPr txBox="1"/>
      </xdr:nvSpPr>
      <xdr:spPr>
        <a:xfrm>
          <a:off x="5181599" y="2924174"/>
          <a:ext cx="161925" cy="198000"/>
        </a:xfrm>
        <a:prstGeom prst="rect">
          <a:avLst/>
        </a:prstGeom>
        <a:solidFill>
          <a:srgbClr val="CCCCFF"/>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fr-BE" sz="1400"/>
            <a:t>L</a:t>
          </a:r>
        </a:p>
      </xdr:txBody>
    </xdr:sp>
    <xdr:clientData/>
  </xdr:twoCellAnchor>
  <xdr:twoCellAnchor>
    <xdr:from>
      <xdr:col>5</xdr:col>
      <xdr:colOff>0</xdr:colOff>
      <xdr:row>14</xdr:row>
      <xdr:rowOff>180974</xdr:rowOff>
    </xdr:from>
    <xdr:to>
      <xdr:col>7</xdr:col>
      <xdr:colOff>371474</xdr:colOff>
      <xdr:row>22</xdr:row>
      <xdr:rowOff>180974</xdr:rowOff>
    </xdr:to>
    <xdr:sp macro="" textlink="">
      <xdr:nvSpPr>
        <xdr:cNvPr id="11" name="Demi-tour 10"/>
        <xdr:cNvSpPr/>
      </xdr:nvSpPr>
      <xdr:spPr>
        <a:xfrm rot="5400000">
          <a:off x="4038599" y="3505200"/>
          <a:ext cx="1438275" cy="1895474"/>
        </a:xfrm>
        <a:prstGeom prst="uturnArrow">
          <a:avLst>
            <a:gd name="adj1" fmla="val 4651"/>
            <a:gd name="adj2" fmla="val 5889"/>
            <a:gd name="adj3" fmla="val 32558"/>
            <a:gd name="adj4" fmla="val 43750"/>
            <a:gd name="adj5" fmla="val 53488"/>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BE"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742949</xdr:colOff>
      <xdr:row>3</xdr:row>
      <xdr:rowOff>38100</xdr:rowOff>
    </xdr:from>
    <xdr:to>
      <xdr:col>5</xdr:col>
      <xdr:colOff>714375</xdr:colOff>
      <xdr:row>4</xdr:row>
      <xdr:rowOff>142874</xdr:rowOff>
    </xdr:to>
    <xdr:sp macro="" textlink="">
      <xdr:nvSpPr>
        <xdr:cNvPr id="2" name="Parenthèse ouvrante 1"/>
        <xdr:cNvSpPr/>
      </xdr:nvSpPr>
      <xdr:spPr>
        <a:xfrm rot="5400000">
          <a:off x="3233737" y="-280988"/>
          <a:ext cx="171449" cy="2105026"/>
        </a:xfrm>
        <a:prstGeom prst="leftBracket">
          <a:avLst/>
        </a:prstGeom>
      </xdr:spPr>
      <xdr:style>
        <a:lnRef idx="3">
          <a:schemeClr val="accent6"/>
        </a:lnRef>
        <a:fillRef idx="0">
          <a:schemeClr val="accent6"/>
        </a:fillRef>
        <a:effectRef idx="2">
          <a:schemeClr val="accent6"/>
        </a:effectRef>
        <a:fontRef idx="minor">
          <a:schemeClr val="tx1"/>
        </a:fontRef>
      </xdr:style>
      <xdr:txBody>
        <a:bodyPr vertOverflow="clip" rtlCol="0" anchor="ctr"/>
        <a:lstStyle/>
        <a:p>
          <a:pPr algn="ctr"/>
          <a:endParaRPr lang="fr-FR" sz="1100"/>
        </a:p>
      </xdr:txBody>
    </xdr:sp>
    <xdr:clientData/>
  </xdr:twoCellAnchor>
  <xdr:twoCellAnchor>
    <xdr:from>
      <xdr:col>6</xdr:col>
      <xdr:colOff>28574</xdr:colOff>
      <xdr:row>3</xdr:row>
      <xdr:rowOff>47625</xdr:rowOff>
    </xdr:from>
    <xdr:to>
      <xdr:col>9</xdr:col>
      <xdr:colOff>19050</xdr:colOff>
      <xdr:row>4</xdr:row>
      <xdr:rowOff>133354</xdr:rowOff>
    </xdr:to>
    <xdr:sp macro="" textlink="">
      <xdr:nvSpPr>
        <xdr:cNvPr id="3" name="Parenthèse ouvrante 2"/>
        <xdr:cNvSpPr/>
      </xdr:nvSpPr>
      <xdr:spPr>
        <a:xfrm rot="5400000">
          <a:off x="5510210" y="-633411"/>
          <a:ext cx="152404" cy="2276476"/>
        </a:xfrm>
        <a:prstGeom prst="leftBracket">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fr-FR" sz="1100"/>
        </a:p>
      </xdr:txBody>
    </xdr:sp>
    <xdr:clientData/>
  </xdr:twoCellAnchor>
  <mc:AlternateContent xmlns:mc="http://schemas.openxmlformats.org/markup-compatibility/2006">
    <mc:Choice xmlns:a14="http://schemas.microsoft.com/office/drawing/2010/main" Requires="a14">
      <xdr:twoCellAnchor editAs="oneCell">
        <xdr:from>
          <xdr:col>1</xdr:col>
          <xdr:colOff>733425</xdr:colOff>
          <xdr:row>7</xdr:row>
          <xdr:rowOff>0</xdr:rowOff>
        </xdr:from>
        <xdr:to>
          <xdr:col>2</xdr:col>
          <xdr:colOff>752475</xdr:colOff>
          <xdr:row>8</xdr:row>
          <xdr:rowOff>0</xdr:rowOff>
        </xdr:to>
        <xdr:sp macro="" textlink="">
          <xdr:nvSpPr>
            <xdr:cNvPr id="9221" name="Drop Down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76201</xdr:colOff>
      <xdr:row>6</xdr:row>
      <xdr:rowOff>38100</xdr:rowOff>
    </xdr:from>
    <xdr:to>
      <xdr:col>2</xdr:col>
      <xdr:colOff>1276351</xdr:colOff>
      <xdr:row>6</xdr:row>
      <xdr:rowOff>142875</xdr:rowOff>
    </xdr:to>
    <xdr:sp macro="" textlink="">
      <xdr:nvSpPr>
        <xdr:cNvPr id="8" name="Flèche droite 7"/>
        <xdr:cNvSpPr/>
      </xdr:nvSpPr>
      <xdr:spPr>
        <a:xfrm>
          <a:off x="895351" y="1171575"/>
          <a:ext cx="1200150" cy="104775"/>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1</xdr:colOff>
      <xdr:row>7</xdr:row>
      <xdr:rowOff>1</xdr:rowOff>
    </xdr:from>
    <xdr:to>
      <xdr:col>2</xdr:col>
      <xdr:colOff>838201</xdr:colOff>
      <xdr:row>7</xdr:row>
      <xdr:rowOff>76201</xdr:rowOff>
    </xdr:to>
    <xdr:sp macro="" textlink="">
      <xdr:nvSpPr>
        <xdr:cNvPr id="9" name="Flèche droite 8"/>
        <xdr:cNvSpPr/>
      </xdr:nvSpPr>
      <xdr:spPr>
        <a:xfrm>
          <a:off x="819151" y="1295401"/>
          <a:ext cx="838200" cy="76200"/>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47625</xdr:colOff>
      <xdr:row>9</xdr:row>
      <xdr:rowOff>57150</xdr:rowOff>
    </xdr:from>
    <xdr:to>
      <xdr:col>2</xdr:col>
      <xdr:colOff>885825</xdr:colOff>
      <xdr:row>9</xdr:row>
      <xdr:rowOff>133350</xdr:rowOff>
    </xdr:to>
    <xdr:sp macro="" textlink="">
      <xdr:nvSpPr>
        <xdr:cNvPr id="10" name="Flèche droite 9"/>
        <xdr:cNvSpPr/>
      </xdr:nvSpPr>
      <xdr:spPr>
        <a:xfrm>
          <a:off x="866775" y="1676400"/>
          <a:ext cx="838200" cy="76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BE"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3</xdr:row>
      <xdr:rowOff>152399</xdr:rowOff>
    </xdr:from>
    <xdr:to>
      <xdr:col>2</xdr:col>
      <xdr:colOff>435725</xdr:colOff>
      <xdr:row>18</xdr:row>
      <xdr:rowOff>158749</xdr:rowOff>
    </xdr:to>
    <xdr:pic>
      <xdr:nvPicPr>
        <xdr:cNvPr id="4" name="Image 3" descr="tourie.jpg"/>
        <xdr:cNvPicPr>
          <a:picLocks noChangeAspect="1"/>
        </xdr:cNvPicPr>
      </xdr:nvPicPr>
      <xdr:blipFill>
        <a:blip xmlns:r="http://schemas.openxmlformats.org/officeDocument/2006/relationships" r:embed="rId1" cstate="print"/>
        <a:stretch>
          <a:fillRect/>
        </a:stretch>
      </xdr:blipFill>
      <xdr:spPr>
        <a:xfrm>
          <a:off x="47625" y="723899"/>
          <a:ext cx="1912100" cy="2873375"/>
        </a:xfrm>
        <a:prstGeom prst="rect">
          <a:avLst/>
        </a:prstGeom>
      </xdr:spPr>
    </xdr:pic>
    <xdr:clientData/>
  </xdr:twoCellAnchor>
  <xdr:twoCellAnchor>
    <xdr:from>
      <xdr:col>1</xdr:col>
      <xdr:colOff>333375</xdr:colOff>
      <xdr:row>5</xdr:row>
      <xdr:rowOff>133350</xdr:rowOff>
    </xdr:from>
    <xdr:to>
      <xdr:col>2</xdr:col>
      <xdr:colOff>581025</xdr:colOff>
      <xdr:row>6</xdr:row>
      <xdr:rowOff>9525</xdr:rowOff>
    </xdr:to>
    <xdr:cxnSp macro="">
      <xdr:nvCxnSpPr>
        <xdr:cNvPr id="5" name="Connecteur droit avec flèche 4"/>
        <xdr:cNvCxnSpPr/>
      </xdr:nvCxnSpPr>
      <xdr:spPr>
        <a:xfrm flipH="1">
          <a:off x="1095375" y="1085850"/>
          <a:ext cx="1009650" cy="7620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6</xdr:col>
      <xdr:colOff>156749</xdr:colOff>
      <xdr:row>8</xdr:row>
      <xdr:rowOff>106348</xdr:rowOff>
    </xdr:from>
    <xdr:ext cx="184730" cy="937629"/>
    <xdr:sp macro="" textlink="">
      <xdr:nvSpPr>
        <xdr:cNvPr id="2" name="Rectangle 1"/>
        <xdr:cNvSpPr/>
      </xdr:nvSpPr>
      <xdr:spPr>
        <a:xfrm>
          <a:off x="5695903" y="1945406"/>
          <a:ext cx="184730"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fr-FR"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0</xdr:col>
      <xdr:colOff>758037</xdr:colOff>
      <xdr:row>0</xdr:row>
      <xdr:rowOff>0</xdr:rowOff>
    </xdr:from>
    <xdr:ext cx="2758888" cy="718466"/>
    <xdr:sp macro="" textlink="">
      <xdr:nvSpPr>
        <xdr:cNvPr id="3" name="Rectangle 2"/>
        <xdr:cNvSpPr/>
      </xdr:nvSpPr>
      <xdr:spPr>
        <a:xfrm>
          <a:off x="758037" y="0"/>
          <a:ext cx="2758888" cy="718466"/>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fr-FR" sz="4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Contenance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uille%20et%20calcul%20vinif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uille%20vinifiction%20co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euille%20vinification%20ceri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uille%20et%20calcul%20vinificat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e de mesure"/>
      <sheetName val="Correction Acidité"/>
      <sheetName val="correction densité &gt;temp"/>
      <sheetName val="Correction en sucre"/>
      <sheetName val="Clarifiant"/>
      <sheetName val="Eclaircisant vin rouge"/>
      <sheetName val="Place  sucre par litre"/>
      <sheetName val="calcul de chaptalisation"/>
      <sheetName val="Levures"/>
      <sheetName val="degré alcool potentiel selon"/>
      <sheetName val="quant sulfite "/>
      <sheetName val="arrêter la fermentation"/>
    </sheetNames>
    <sheetDataSet>
      <sheetData sheetId="0"/>
      <sheetData sheetId="1"/>
      <sheetData sheetId="2"/>
      <sheetData sheetId="3">
        <row r="1">
          <cell r="A1" t="str">
            <v>Type</v>
          </cell>
        </row>
        <row r="3">
          <cell r="A3" t="str">
            <v>Sec</v>
          </cell>
        </row>
        <row r="4">
          <cell r="A4" t="str">
            <v>1/2 sec</v>
          </cell>
        </row>
        <row r="5">
          <cell r="A5" t="str">
            <v>doux</v>
          </cell>
        </row>
        <row r="6">
          <cell r="A6" t="str">
            <v>moeleux</v>
          </cell>
        </row>
        <row r="7">
          <cell r="A7" t="str">
            <v>liquoreux</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2)"/>
      <sheetName val="2019"/>
      <sheetName val="2013"/>
      <sheetName val="Feuil2"/>
      <sheetName val="Feuile de mesure"/>
      <sheetName val="calcul de chaptalisation"/>
      <sheetName val="Levures"/>
      <sheetName val="quant sulfite "/>
      <sheetName val="Correction Acidité"/>
      <sheetName val="correction densité &gt;temp"/>
      <sheetName val="arrêter la fermentation"/>
      <sheetName val="Croix St André"/>
      <sheetName val="Clarifiant"/>
      <sheetName val="Place  sucre par litre"/>
      <sheetName val="Table Conversion densité "/>
      <sheetName val="Correction en sucre"/>
      <sheetName val="Eclaircisant vin rouge"/>
      <sheetName val="Sorbitol"/>
      <sheetName val="Méthode Acidex1"/>
      <sheetName val="Méthode Acidex2"/>
      <sheetName val="volume dans une tourie en verre"/>
      <sheetName val="Pouvoir sucrant "/>
      <sheetName val="Dilution alcool et eau"/>
      <sheetName val="Levure par fruits et récolte"/>
      <sheetName val="Capacité contenant"/>
      <sheetName val="volume liquide d'un fû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Type</v>
          </cell>
        </row>
        <row r="3">
          <cell r="A3" t="str">
            <v>Sec</v>
          </cell>
        </row>
        <row r="4">
          <cell r="A4" t="str">
            <v>1/2 sec</v>
          </cell>
        </row>
        <row r="5">
          <cell r="A5" t="str">
            <v>Moeleux</v>
          </cell>
        </row>
        <row r="6">
          <cell r="A6" t="str">
            <v>Doux</v>
          </cell>
        </row>
        <row r="7">
          <cell r="A7" t="str">
            <v>liquoreux</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2014"/>
      <sheetName val="2013"/>
      <sheetName val="2011"/>
      <sheetName val="Feuile de mesure"/>
      <sheetName val="Correction Acidité"/>
      <sheetName val="correction densité &gt;temp"/>
      <sheetName val="Table Conversion densité "/>
      <sheetName val="Correction en sucre"/>
      <sheetName val="Clarifiant"/>
      <sheetName val="Eclaircisant vin rouge"/>
      <sheetName val="Place  sucre par litre"/>
      <sheetName val="Levures"/>
      <sheetName val="calcul de chaptalisation"/>
      <sheetName val="volume liquide d'un fût"/>
      <sheetName val="volume dans une tourie en verre"/>
      <sheetName val="quant sulfite "/>
      <sheetName val="arrêter la fermentation"/>
      <sheetName val="Sorbitol"/>
      <sheetName val="Croix St André"/>
      <sheetName val="Méthode Acidex1"/>
      <sheetName val="Méthode Acidex2"/>
      <sheetName val="Pouvoir sucrant "/>
      <sheetName val="Dilution alcool et eau"/>
      <sheetName val="Capacité contenant"/>
    </sheetNames>
    <sheetDataSet>
      <sheetData sheetId="0"/>
      <sheetData sheetId="1"/>
      <sheetData sheetId="2"/>
      <sheetData sheetId="3"/>
      <sheetData sheetId="4"/>
      <sheetData sheetId="5"/>
      <sheetData sheetId="6"/>
      <sheetData sheetId="7"/>
      <sheetData sheetId="8">
        <row r="1">
          <cell r="A1" t="str">
            <v>Type</v>
          </cell>
        </row>
        <row r="3">
          <cell r="A3" t="str">
            <v>Sec</v>
          </cell>
        </row>
        <row r="4">
          <cell r="A4" t="str">
            <v>1/2 sec</v>
          </cell>
        </row>
        <row r="5">
          <cell r="A5" t="str">
            <v>Moeleux</v>
          </cell>
        </row>
        <row r="6">
          <cell r="A6" t="str">
            <v>Doux</v>
          </cell>
        </row>
        <row r="7">
          <cell r="A7" t="str">
            <v>liquoreux</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e de mesure"/>
      <sheetName val="calcul de chaptalisation"/>
      <sheetName val="Correction Acidité"/>
      <sheetName val="Levures"/>
      <sheetName val="calcul de chaptalisation (1)"/>
      <sheetName val="quant sulfite "/>
      <sheetName val="correction densité &gt;temp"/>
      <sheetName val="arrêter la fermentation"/>
      <sheetName val="Croix St André"/>
      <sheetName val="Clarifiant"/>
      <sheetName val="Place  sucre par litre"/>
      <sheetName val="Table Conversion densité "/>
      <sheetName val="Correction en sucre"/>
      <sheetName val="Eclaircisant vin rouge"/>
      <sheetName val="Sorbitol"/>
      <sheetName val="Méthode Acidex1"/>
      <sheetName val="Méthode Acidex2"/>
      <sheetName val="volume dans une tourie en verre"/>
      <sheetName val="Pouvoir sucrant "/>
      <sheetName val="Dilution alcool et eau"/>
      <sheetName val="Levure par fruits et récolte"/>
      <sheetName val="Capacité contenant"/>
      <sheetName val="volume d'un seau ou un  fût"/>
      <sheetName val="Quantité de sulfite"/>
      <sheetName val="Nombre de bouteilles"/>
      <sheetName val="calcul kupfa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Type</v>
          </cell>
        </row>
        <row r="3">
          <cell r="A3" t="str">
            <v>Sec</v>
          </cell>
        </row>
        <row r="4">
          <cell r="A4" t="str">
            <v>1/2 sec</v>
          </cell>
        </row>
        <row r="5">
          <cell r="A5" t="str">
            <v>Moeleux</v>
          </cell>
        </row>
        <row r="6">
          <cell r="A6" t="str">
            <v>Doux</v>
          </cell>
        </row>
        <row r="7">
          <cell r="A7" t="str">
            <v>liquoreux</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trlProp" Target="../ctrlProps/ctrlProp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7"/>
  <sheetViews>
    <sheetView zoomScaleNormal="100" workbookViewId="0">
      <pane xSplit="20" topLeftCell="X1" activePane="topRight" state="frozenSplit"/>
      <selection pane="topRight" activeCell="Q39" sqref="Q39"/>
    </sheetView>
  </sheetViews>
  <sheetFormatPr baseColWidth="10" defaultRowHeight="15" x14ac:dyDescent="0.25"/>
  <cols>
    <col min="1" max="1" width="9" customWidth="1"/>
    <col min="2" max="2" width="7.5703125" style="1" customWidth="1"/>
    <col min="3" max="3" width="7.28515625" style="1" customWidth="1"/>
    <col min="4" max="4" width="0.7109375" style="1" customWidth="1"/>
    <col min="5" max="5" width="7.85546875" style="1" customWidth="1"/>
    <col min="6" max="6" width="0.7109375" style="1" customWidth="1"/>
    <col min="7" max="7" width="8.7109375" style="1" customWidth="1"/>
    <col min="8" max="8" width="0.85546875" style="1" customWidth="1"/>
    <col min="9" max="9" width="7.140625" style="1" customWidth="1"/>
    <col min="10" max="10" width="1" style="1" customWidth="1"/>
    <col min="11" max="11" width="9.85546875" style="211" customWidth="1"/>
    <col min="12" max="12" width="0.85546875" style="1" customWidth="1"/>
    <col min="13" max="13" width="10.85546875" style="1" customWidth="1"/>
    <col min="14" max="14" width="6" style="211" customWidth="1"/>
    <col min="15" max="15" width="4.42578125" style="1" customWidth="1"/>
    <col min="16" max="16" width="4.85546875" style="1" customWidth="1"/>
    <col min="17" max="17" width="56.85546875" style="1" customWidth="1"/>
    <col min="18" max="18" width="10.85546875" style="1" customWidth="1"/>
    <col min="19" max="19" width="58.28515625" customWidth="1"/>
    <col min="20" max="20" width="8.7109375" customWidth="1"/>
  </cols>
  <sheetData>
    <row r="1" spans="1:29" ht="24" customHeight="1" thickBot="1" x14ac:dyDescent="0.3">
      <c r="A1" s="55" t="s">
        <v>78</v>
      </c>
      <c r="B1" s="569"/>
      <c r="C1" s="655"/>
      <c r="D1" s="656"/>
      <c r="E1" s="656"/>
      <c r="F1" s="656"/>
      <c r="G1" s="656"/>
      <c r="H1" s="656"/>
      <c r="I1" s="656"/>
      <c r="J1" s="656"/>
      <c r="K1" s="656"/>
      <c r="L1" s="656"/>
      <c r="M1" s="656"/>
      <c r="N1" s="656"/>
      <c r="O1" s="656"/>
      <c r="P1" s="209"/>
      <c r="Q1" s="222"/>
      <c r="R1" s="219"/>
      <c r="S1" s="654" t="s">
        <v>667</v>
      </c>
      <c r="AB1" s="577" t="s">
        <v>672</v>
      </c>
      <c r="AC1" s="577" t="s">
        <v>672</v>
      </c>
    </row>
    <row r="2" spans="1:29" ht="25.5" customHeight="1" x14ac:dyDescent="0.25">
      <c r="A2" s="223" t="s">
        <v>145</v>
      </c>
      <c r="B2" s="4"/>
      <c r="C2" s="570">
        <v>0.1</v>
      </c>
      <c r="D2" s="4"/>
      <c r="E2" s="657" t="s">
        <v>137</v>
      </c>
      <c r="F2" s="658"/>
      <c r="G2" s="422" t="s">
        <v>274</v>
      </c>
      <c r="H2" s="4"/>
      <c r="I2" s="4"/>
      <c r="J2" s="4"/>
      <c r="K2" s="4"/>
      <c r="L2" s="4"/>
      <c r="M2" s="4"/>
      <c r="N2" s="4"/>
      <c r="O2" s="4"/>
      <c r="P2" s="4"/>
      <c r="Q2" s="10"/>
      <c r="R2" s="217"/>
      <c r="S2" s="654"/>
      <c r="AB2" s="428" t="s">
        <v>362</v>
      </c>
      <c r="AC2" s="576" t="s">
        <v>668</v>
      </c>
    </row>
    <row r="3" spans="1:29" ht="19.5" customHeight="1" x14ac:dyDescent="0.25">
      <c r="A3" s="224" t="s">
        <v>22</v>
      </c>
      <c r="B3" s="4"/>
      <c r="C3" s="571"/>
      <c r="D3" s="4"/>
      <c r="E3" s="4"/>
      <c r="F3" s="4"/>
      <c r="G3" s="665" t="s">
        <v>651</v>
      </c>
      <c r="H3" s="665"/>
      <c r="I3" s="665"/>
      <c r="J3" s="564"/>
      <c r="K3" s="597"/>
      <c r="L3" s="4"/>
      <c r="M3" s="4"/>
      <c r="N3" s="422" t="s">
        <v>665</v>
      </c>
      <c r="O3" s="211"/>
      <c r="P3" s="567">
        <f>100/C2*C3</f>
        <v>0</v>
      </c>
      <c r="Q3" s="568" t="s">
        <v>449</v>
      </c>
      <c r="R3" s="217"/>
      <c r="S3" s="217"/>
      <c r="AB3" s="428" t="s">
        <v>363</v>
      </c>
      <c r="AC3" s="576" t="s">
        <v>669</v>
      </c>
    </row>
    <row r="4" spans="1:29" ht="7.5" customHeight="1" x14ac:dyDescent="0.25">
      <c r="A4" s="210"/>
      <c r="B4" s="4"/>
      <c r="C4" s="4"/>
      <c r="D4" s="4"/>
      <c r="E4" s="4"/>
      <c r="F4" s="4"/>
      <c r="G4" s="4"/>
      <c r="H4" s="4"/>
      <c r="I4" s="4"/>
      <c r="J4" s="4"/>
      <c r="K4" s="4"/>
      <c r="L4" s="4"/>
      <c r="M4" s="4"/>
      <c r="N4" s="4"/>
      <c r="O4" s="4"/>
      <c r="P4" s="4"/>
      <c r="Q4" s="10"/>
      <c r="R4" s="217"/>
      <c r="S4" s="217"/>
      <c r="AB4" s="428" t="s">
        <v>263</v>
      </c>
      <c r="AC4" s="576" t="s">
        <v>670</v>
      </c>
    </row>
    <row r="5" spans="1:29" ht="15.75" customHeight="1" x14ac:dyDescent="0.3">
      <c r="A5" s="225" t="s">
        <v>19</v>
      </c>
      <c r="B5" s="217"/>
      <c r="C5" s="572" t="s">
        <v>137</v>
      </c>
      <c r="E5" s="431" t="s">
        <v>558</v>
      </c>
      <c r="F5" s="419"/>
      <c r="G5" s="419"/>
      <c r="H5" s="221" t="s">
        <v>16</v>
      </c>
      <c r="I5" s="217"/>
      <c r="J5" s="220" t="s">
        <v>17</v>
      </c>
      <c r="K5" s="419" t="s">
        <v>137</v>
      </c>
      <c r="L5" s="217" t="s">
        <v>18</v>
      </c>
      <c r="M5" s="663"/>
      <c r="N5" s="664"/>
      <c r="O5" s="494" t="s">
        <v>633</v>
      </c>
      <c r="P5" s="572"/>
      <c r="Q5" s="598"/>
      <c r="R5" s="217"/>
      <c r="S5" s="595" t="s">
        <v>364</v>
      </c>
      <c r="AB5" s="428" t="s">
        <v>262</v>
      </c>
    </row>
    <row r="6" spans="1:29" ht="7.5" customHeight="1" x14ac:dyDescent="0.25">
      <c r="A6" s="226"/>
      <c r="B6" s="217"/>
      <c r="C6" s="217"/>
      <c r="D6" s="217"/>
      <c r="E6" s="220"/>
      <c r="F6" s="217"/>
      <c r="G6" s="217"/>
      <c r="H6" s="217"/>
      <c r="I6" s="217"/>
      <c r="J6" s="217"/>
      <c r="K6" s="217"/>
      <c r="L6" s="217"/>
      <c r="M6" s="217"/>
      <c r="N6" s="515"/>
      <c r="O6" s="217"/>
      <c r="P6" s="217"/>
      <c r="Q6" s="216"/>
      <c r="R6" s="217"/>
      <c r="S6" s="217"/>
    </row>
    <row r="7" spans="1:29" ht="15.75" customHeight="1" thickBot="1" x14ac:dyDescent="0.3">
      <c r="A7" s="227" t="s">
        <v>5</v>
      </c>
      <c r="B7" s="573"/>
      <c r="C7" s="228" t="s">
        <v>634</v>
      </c>
      <c r="D7" s="6">
        <v>0.05</v>
      </c>
      <c r="E7" s="1" t="s">
        <v>556</v>
      </c>
      <c r="F7" s="6"/>
      <c r="G7" s="228">
        <f>IF(C7="Gr",0,B7*D7)</f>
        <v>0</v>
      </c>
      <c r="H7" s="6"/>
      <c r="I7" s="6"/>
      <c r="J7" s="6"/>
      <c r="K7" s="517"/>
      <c r="L7" s="6"/>
      <c r="M7" s="6"/>
      <c r="N7" s="6"/>
      <c r="O7" s="6"/>
      <c r="P7" s="4"/>
      <c r="Q7" s="229"/>
      <c r="R7" s="217"/>
      <c r="S7" s="429"/>
    </row>
    <row r="8" spans="1:29" ht="15.75" customHeight="1" x14ac:dyDescent="0.25">
      <c r="A8" s="648" t="s">
        <v>275</v>
      </c>
      <c r="B8" s="642" t="s">
        <v>276</v>
      </c>
      <c r="C8" s="645" t="s">
        <v>0</v>
      </c>
      <c r="D8" s="427"/>
      <c r="E8" s="652" t="s">
        <v>3</v>
      </c>
      <c r="F8" s="653"/>
      <c r="G8" s="653"/>
      <c r="H8" s="653"/>
      <c r="I8" s="653"/>
      <c r="J8" s="653"/>
      <c r="K8" s="653"/>
      <c r="L8" s="423"/>
      <c r="M8" s="631" t="s">
        <v>1</v>
      </c>
      <c r="N8" s="634" t="s">
        <v>2</v>
      </c>
      <c r="O8" s="635"/>
      <c r="P8" s="230"/>
      <c r="Q8" s="3"/>
      <c r="R8" s="218"/>
      <c r="S8" s="666" t="s">
        <v>712</v>
      </c>
    </row>
    <row r="9" spans="1:29" ht="27.75" customHeight="1" x14ac:dyDescent="0.25">
      <c r="A9" s="649"/>
      <c r="B9" s="643"/>
      <c r="C9" s="646"/>
      <c r="D9" s="8"/>
      <c r="E9" s="650" t="s">
        <v>255</v>
      </c>
      <c r="F9" s="8"/>
      <c r="G9" s="651" t="s">
        <v>20</v>
      </c>
      <c r="H9" s="231"/>
      <c r="I9" s="659" t="s">
        <v>557</v>
      </c>
      <c r="J9" s="660"/>
      <c r="K9" s="574" t="s">
        <v>671</v>
      </c>
      <c r="L9" s="424"/>
      <c r="M9" s="632"/>
      <c r="N9" s="636"/>
      <c r="O9" s="637"/>
      <c r="P9" s="661" t="s">
        <v>21</v>
      </c>
      <c r="Q9" s="662"/>
      <c r="R9" s="218"/>
      <c r="S9" s="667"/>
    </row>
    <row r="10" spans="1:29" s="380" customFormat="1" ht="26.25" customHeight="1" x14ac:dyDescent="0.25">
      <c r="A10" s="649"/>
      <c r="B10" s="643"/>
      <c r="C10" s="646"/>
      <c r="D10" s="8"/>
      <c r="E10" s="650"/>
      <c r="F10" s="8"/>
      <c r="G10" s="651"/>
      <c r="H10" s="231"/>
      <c r="I10" s="628" t="s">
        <v>672</v>
      </c>
      <c r="J10" s="629"/>
      <c r="K10" s="578" t="s">
        <v>672</v>
      </c>
      <c r="L10" s="424"/>
      <c r="M10" s="632"/>
      <c r="N10" s="636"/>
      <c r="O10" s="637"/>
      <c r="P10" s="378"/>
      <c r="Q10" s="379"/>
      <c r="R10" s="218"/>
      <c r="S10" s="667"/>
    </row>
    <row r="11" spans="1:29" ht="27.75" customHeight="1" thickBot="1" x14ac:dyDescent="0.3">
      <c r="A11" s="5"/>
      <c r="B11" s="644"/>
      <c r="C11" s="647"/>
      <c r="D11" s="426"/>
      <c r="E11" s="234" t="s">
        <v>256</v>
      </c>
      <c r="F11" s="232"/>
      <c r="G11" s="630" t="s">
        <v>257</v>
      </c>
      <c r="H11" s="630"/>
      <c r="I11" s="630"/>
      <c r="J11" s="630"/>
      <c r="K11" s="630"/>
      <c r="L11" s="425"/>
      <c r="M11" s="633"/>
      <c r="N11" s="638"/>
      <c r="O11" s="639"/>
      <c r="P11" s="233"/>
      <c r="Q11" s="7"/>
      <c r="R11" s="218"/>
      <c r="S11" s="430"/>
    </row>
    <row r="12" spans="1:29" ht="18" customHeight="1" x14ac:dyDescent="0.3">
      <c r="A12" s="407"/>
      <c r="B12" s="408"/>
      <c r="C12" s="408"/>
      <c r="D12" s="409"/>
      <c r="E12" s="408"/>
      <c r="F12" s="410"/>
      <c r="G12" s="408"/>
      <c r="H12" s="410"/>
      <c r="I12" s="408"/>
      <c r="J12" s="410"/>
      <c r="K12" s="408"/>
      <c r="L12" s="409"/>
      <c r="M12" s="408"/>
      <c r="N12" s="640"/>
      <c r="O12" s="641"/>
      <c r="P12" s="626"/>
      <c r="Q12" s="627"/>
      <c r="R12" s="217"/>
      <c r="S12" s="595" t="s">
        <v>365</v>
      </c>
    </row>
    <row r="13" spans="1:29" x14ac:dyDescent="0.25">
      <c r="A13" s="411"/>
      <c r="B13" s="412"/>
      <c r="C13" s="412"/>
      <c r="D13" s="413"/>
      <c r="E13" s="412"/>
      <c r="F13" s="414"/>
      <c r="G13" s="412"/>
      <c r="H13" s="414"/>
      <c r="I13" s="412"/>
      <c r="J13" s="414"/>
      <c r="K13" s="412"/>
      <c r="L13" s="413"/>
      <c r="M13" s="412"/>
      <c r="N13" s="618"/>
      <c r="O13" s="619"/>
      <c r="P13" s="620"/>
      <c r="Q13" s="621"/>
      <c r="R13" s="217"/>
      <c r="S13" s="99"/>
    </row>
    <row r="14" spans="1:29" x14ac:dyDescent="0.25">
      <c r="A14" s="411"/>
      <c r="B14" s="412"/>
      <c r="C14" s="412"/>
      <c r="D14" s="413"/>
      <c r="E14" s="412"/>
      <c r="F14" s="414"/>
      <c r="G14" s="412"/>
      <c r="H14" s="414"/>
      <c r="I14" s="412"/>
      <c r="J14" s="414"/>
      <c r="K14" s="412"/>
      <c r="L14" s="413"/>
      <c r="M14" s="412"/>
      <c r="N14" s="618"/>
      <c r="O14" s="619"/>
      <c r="P14" s="620"/>
      <c r="Q14" s="621"/>
      <c r="R14" s="217"/>
      <c r="S14" s="99"/>
    </row>
    <row r="15" spans="1:29" x14ac:dyDescent="0.25">
      <c r="A15" s="411"/>
      <c r="B15" s="412"/>
      <c r="C15" s="412"/>
      <c r="D15" s="413"/>
      <c r="E15" s="412"/>
      <c r="F15" s="414"/>
      <c r="G15" s="412"/>
      <c r="H15" s="414"/>
      <c r="I15" s="412"/>
      <c r="J15" s="414"/>
      <c r="K15" s="412"/>
      <c r="L15" s="413"/>
      <c r="M15" s="412"/>
      <c r="N15" s="618"/>
      <c r="O15" s="619"/>
      <c r="P15" s="620"/>
      <c r="Q15" s="621"/>
      <c r="R15" s="217"/>
      <c r="S15" s="99"/>
    </row>
    <row r="16" spans="1:29" x14ac:dyDescent="0.25">
      <c r="A16" s="411"/>
      <c r="B16" s="412"/>
      <c r="C16" s="412"/>
      <c r="D16" s="413"/>
      <c r="E16" s="412"/>
      <c r="F16" s="414"/>
      <c r="G16" s="412"/>
      <c r="H16" s="414"/>
      <c r="I16" s="412"/>
      <c r="J16" s="414"/>
      <c r="K16" s="412"/>
      <c r="L16" s="413"/>
      <c r="M16" s="412"/>
      <c r="N16" s="618"/>
      <c r="O16" s="619"/>
      <c r="P16" s="620"/>
      <c r="Q16" s="621"/>
      <c r="R16" s="217"/>
      <c r="S16" s="517"/>
    </row>
    <row r="17" spans="1:19" x14ac:dyDescent="0.25">
      <c r="A17" s="411"/>
      <c r="B17" s="412"/>
      <c r="C17" s="412"/>
      <c r="D17" s="413"/>
      <c r="E17" s="412"/>
      <c r="F17" s="414"/>
      <c r="G17" s="412"/>
      <c r="H17" s="414"/>
      <c r="I17" s="412"/>
      <c r="J17" s="414"/>
      <c r="K17" s="412"/>
      <c r="L17" s="413"/>
      <c r="M17" s="412"/>
      <c r="N17" s="618"/>
      <c r="O17" s="619"/>
      <c r="P17" s="620"/>
      <c r="Q17" s="621"/>
      <c r="R17" s="217"/>
      <c r="S17" s="99"/>
    </row>
    <row r="18" spans="1:19" x14ac:dyDescent="0.25">
      <c r="A18" s="411"/>
      <c r="B18" s="412"/>
      <c r="C18" s="412"/>
      <c r="D18" s="413"/>
      <c r="E18" s="412"/>
      <c r="F18" s="414"/>
      <c r="G18" s="412"/>
      <c r="H18" s="414"/>
      <c r="I18" s="412"/>
      <c r="J18" s="414"/>
      <c r="K18" s="412"/>
      <c r="L18" s="413"/>
      <c r="M18" s="412"/>
      <c r="N18" s="618"/>
      <c r="O18" s="619"/>
      <c r="P18" s="620"/>
      <c r="Q18" s="621"/>
      <c r="R18" s="217"/>
      <c r="S18" s="99"/>
    </row>
    <row r="19" spans="1:19" x14ac:dyDescent="0.25">
      <c r="A19" s="411"/>
      <c r="B19" s="412"/>
      <c r="C19" s="412"/>
      <c r="D19" s="413"/>
      <c r="E19" s="412"/>
      <c r="F19" s="414"/>
      <c r="G19" s="412"/>
      <c r="H19" s="414"/>
      <c r="I19" s="412"/>
      <c r="J19" s="414"/>
      <c r="K19" s="412"/>
      <c r="L19" s="413"/>
      <c r="M19" s="412"/>
      <c r="N19" s="618"/>
      <c r="O19" s="619"/>
      <c r="P19" s="620"/>
      <c r="Q19" s="621"/>
      <c r="R19" s="217"/>
      <c r="S19" s="99"/>
    </row>
    <row r="20" spans="1:19" x14ac:dyDescent="0.25">
      <c r="A20" s="411"/>
      <c r="B20" s="412"/>
      <c r="C20" s="412"/>
      <c r="D20" s="413"/>
      <c r="E20" s="412"/>
      <c r="F20" s="414"/>
      <c r="G20" s="412"/>
      <c r="H20" s="414"/>
      <c r="I20" s="412"/>
      <c r="J20" s="414"/>
      <c r="K20" s="412"/>
      <c r="L20" s="413"/>
      <c r="M20" s="412"/>
      <c r="N20" s="618"/>
      <c r="O20" s="619"/>
      <c r="P20" s="620"/>
      <c r="Q20" s="621"/>
      <c r="R20" s="217"/>
      <c r="S20" s="99"/>
    </row>
    <row r="21" spans="1:19" x14ac:dyDescent="0.25">
      <c r="A21" s="411"/>
      <c r="B21" s="412"/>
      <c r="C21" s="412"/>
      <c r="D21" s="413"/>
      <c r="E21" s="412"/>
      <c r="F21" s="414"/>
      <c r="G21" s="412"/>
      <c r="H21" s="414"/>
      <c r="I21" s="412"/>
      <c r="J21" s="414"/>
      <c r="K21" s="412"/>
      <c r="L21" s="413"/>
      <c r="M21" s="412"/>
      <c r="N21" s="618"/>
      <c r="O21" s="619"/>
      <c r="P21" s="620"/>
      <c r="Q21" s="621"/>
      <c r="R21" s="217"/>
      <c r="S21" s="99"/>
    </row>
    <row r="22" spans="1:19" x14ac:dyDescent="0.25">
      <c r="A22" s="411"/>
      <c r="B22" s="412"/>
      <c r="C22" s="412"/>
      <c r="D22" s="413"/>
      <c r="E22" s="412"/>
      <c r="F22" s="414"/>
      <c r="G22" s="412"/>
      <c r="H22" s="414"/>
      <c r="I22" s="412"/>
      <c r="J22" s="414"/>
      <c r="K22" s="412"/>
      <c r="L22" s="413"/>
      <c r="M22" s="412"/>
      <c r="N22" s="618"/>
      <c r="O22" s="619"/>
      <c r="P22" s="562"/>
      <c r="Q22" s="563"/>
      <c r="R22" s="217"/>
      <c r="S22" s="99"/>
    </row>
    <row r="23" spans="1:19" x14ac:dyDescent="0.25">
      <c r="A23" s="411"/>
      <c r="B23" s="412"/>
      <c r="C23" s="412"/>
      <c r="D23" s="413"/>
      <c r="E23" s="412"/>
      <c r="F23" s="414"/>
      <c r="G23" s="412"/>
      <c r="H23" s="414"/>
      <c r="I23" s="412"/>
      <c r="J23" s="414"/>
      <c r="K23" s="412"/>
      <c r="L23" s="413"/>
      <c r="M23" s="412"/>
      <c r="N23" s="618"/>
      <c r="O23" s="619"/>
      <c r="P23" s="562"/>
      <c r="Q23" s="563"/>
      <c r="R23" s="217"/>
      <c r="S23" s="99"/>
    </row>
    <row r="24" spans="1:19" x14ac:dyDescent="0.25">
      <c r="A24" s="411"/>
      <c r="B24" s="412"/>
      <c r="C24" s="412"/>
      <c r="D24" s="413"/>
      <c r="E24" s="412"/>
      <c r="F24" s="414"/>
      <c r="G24" s="412"/>
      <c r="H24" s="414"/>
      <c r="I24" s="412"/>
      <c r="J24" s="414"/>
      <c r="K24" s="412"/>
      <c r="L24" s="413"/>
      <c r="M24" s="412"/>
      <c r="N24" s="618"/>
      <c r="O24" s="619"/>
      <c r="P24" s="562"/>
      <c r="Q24" s="563"/>
      <c r="R24" s="217"/>
      <c r="S24" s="99"/>
    </row>
    <row r="25" spans="1:19" x14ac:dyDescent="0.25">
      <c r="A25" s="411"/>
      <c r="B25" s="412"/>
      <c r="C25" s="412"/>
      <c r="D25" s="413"/>
      <c r="E25" s="412"/>
      <c r="F25" s="414"/>
      <c r="G25" s="412"/>
      <c r="H25" s="414"/>
      <c r="I25" s="412"/>
      <c r="J25" s="414"/>
      <c r="K25" s="412"/>
      <c r="L25" s="413"/>
      <c r="M25" s="412"/>
      <c r="N25" s="618"/>
      <c r="O25" s="619"/>
      <c r="P25" s="562"/>
      <c r="Q25" s="563"/>
      <c r="R25" s="217"/>
      <c r="S25" s="99"/>
    </row>
    <row r="26" spans="1:19" x14ac:dyDescent="0.25">
      <c r="A26" s="411"/>
      <c r="B26" s="412"/>
      <c r="C26" s="412"/>
      <c r="D26" s="413"/>
      <c r="E26" s="412"/>
      <c r="F26" s="414"/>
      <c r="G26" s="412"/>
      <c r="H26" s="414"/>
      <c r="I26" s="412"/>
      <c r="J26" s="414"/>
      <c r="K26" s="412"/>
      <c r="L26" s="413"/>
      <c r="M26" s="412"/>
      <c r="N26" s="618"/>
      <c r="O26" s="619"/>
      <c r="P26" s="562"/>
      <c r="Q26" s="563"/>
      <c r="R26" s="217"/>
      <c r="S26" s="99"/>
    </row>
    <row r="27" spans="1:19" x14ac:dyDescent="0.25">
      <c r="A27" s="411"/>
      <c r="B27" s="412"/>
      <c r="C27" s="412"/>
      <c r="D27" s="413"/>
      <c r="E27" s="412"/>
      <c r="F27" s="414"/>
      <c r="G27" s="412"/>
      <c r="H27" s="414"/>
      <c r="I27" s="412"/>
      <c r="J27" s="414"/>
      <c r="K27" s="412"/>
      <c r="L27" s="413"/>
      <c r="M27" s="412"/>
      <c r="N27" s="618"/>
      <c r="O27" s="619"/>
      <c r="P27" s="620"/>
      <c r="Q27" s="621"/>
      <c r="R27" s="217"/>
      <c r="S27" s="99"/>
    </row>
    <row r="28" spans="1:19" x14ac:dyDescent="0.25">
      <c r="A28" s="411"/>
      <c r="B28" s="412"/>
      <c r="C28" s="412"/>
      <c r="D28" s="413"/>
      <c r="E28" s="412"/>
      <c r="F28" s="414"/>
      <c r="G28" s="412"/>
      <c r="H28" s="414"/>
      <c r="I28" s="412"/>
      <c r="J28" s="414"/>
      <c r="K28" s="412"/>
      <c r="L28" s="413"/>
      <c r="M28" s="412"/>
      <c r="N28" s="618"/>
      <c r="O28" s="619"/>
      <c r="P28" s="620"/>
      <c r="Q28" s="621"/>
      <c r="R28" s="217"/>
      <c r="S28" s="99"/>
    </row>
    <row r="29" spans="1:19" x14ac:dyDescent="0.25">
      <c r="A29" s="411"/>
      <c r="B29" s="412"/>
      <c r="C29" s="412"/>
      <c r="D29" s="413"/>
      <c r="E29" s="412"/>
      <c r="F29" s="414"/>
      <c r="G29" s="412"/>
      <c r="H29" s="414"/>
      <c r="I29" s="412"/>
      <c r="J29" s="414"/>
      <c r="K29" s="412"/>
      <c r="L29" s="413"/>
      <c r="M29" s="412"/>
      <c r="N29" s="618"/>
      <c r="O29" s="619"/>
      <c r="P29" s="620"/>
      <c r="Q29" s="621"/>
      <c r="R29" s="217"/>
      <c r="S29" s="99"/>
    </row>
    <row r="30" spans="1:19" x14ac:dyDescent="0.25">
      <c r="A30" s="411"/>
      <c r="B30" s="412"/>
      <c r="C30" s="412"/>
      <c r="D30" s="413"/>
      <c r="E30" s="412"/>
      <c r="F30" s="414"/>
      <c r="G30" s="412"/>
      <c r="H30" s="414"/>
      <c r="I30" s="412"/>
      <c r="J30" s="414"/>
      <c r="K30" s="412"/>
      <c r="L30" s="413"/>
      <c r="M30" s="412"/>
      <c r="N30" s="618"/>
      <c r="O30" s="619"/>
      <c r="P30" s="620"/>
      <c r="Q30" s="621"/>
      <c r="R30" s="217"/>
      <c r="S30" s="99"/>
    </row>
    <row r="31" spans="1:19" x14ac:dyDescent="0.25">
      <c r="A31" s="411"/>
      <c r="B31" s="412"/>
      <c r="C31" s="412"/>
      <c r="D31" s="413"/>
      <c r="E31" s="412"/>
      <c r="F31" s="414"/>
      <c r="G31" s="412"/>
      <c r="H31" s="414"/>
      <c r="I31" s="412"/>
      <c r="J31" s="414"/>
      <c r="K31" s="412"/>
      <c r="L31" s="413"/>
      <c r="M31" s="412"/>
      <c r="N31" s="618"/>
      <c r="O31" s="619"/>
      <c r="P31" s="620"/>
      <c r="Q31" s="621"/>
      <c r="R31" s="217"/>
      <c r="S31" s="99"/>
    </row>
    <row r="32" spans="1:19" x14ac:dyDescent="0.25">
      <c r="A32" s="411"/>
      <c r="B32" s="412"/>
      <c r="C32" s="412"/>
      <c r="D32" s="413"/>
      <c r="E32" s="412"/>
      <c r="F32" s="414"/>
      <c r="G32" s="412"/>
      <c r="H32" s="414"/>
      <c r="I32" s="412"/>
      <c r="J32" s="414"/>
      <c r="K32" s="412"/>
      <c r="L32" s="413"/>
      <c r="M32" s="412"/>
      <c r="N32" s="618"/>
      <c r="O32" s="619"/>
      <c r="P32" s="620"/>
      <c r="Q32" s="621"/>
      <c r="R32" s="217"/>
      <c r="S32" s="99"/>
    </row>
    <row r="33" spans="1:19" ht="15.75" thickBot="1" x14ac:dyDescent="0.3">
      <c r="A33" s="415"/>
      <c r="B33" s="416"/>
      <c r="C33" s="416"/>
      <c r="D33" s="417"/>
      <c r="E33" s="416"/>
      <c r="F33" s="418"/>
      <c r="G33" s="416"/>
      <c r="H33" s="418"/>
      <c r="I33" s="416"/>
      <c r="J33" s="418"/>
      <c r="K33" s="416"/>
      <c r="L33" s="417"/>
      <c r="M33" s="416"/>
      <c r="N33" s="624"/>
      <c r="O33" s="625"/>
      <c r="P33" s="622"/>
      <c r="Q33" s="623"/>
      <c r="R33" s="217"/>
      <c r="S33" s="99"/>
    </row>
    <row r="34" spans="1:19" x14ac:dyDescent="0.25">
      <c r="A34" s="99"/>
      <c r="B34" s="217"/>
      <c r="C34" s="220" t="s">
        <v>545</v>
      </c>
      <c r="D34" s="217"/>
      <c r="E34" s="217">
        <f>SUM(E11:E33)</f>
        <v>0</v>
      </c>
      <c r="F34" s="217"/>
      <c r="G34" s="217"/>
      <c r="H34" s="217"/>
      <c r="I34" s="217"/>
      <c r="J34" s="217"/>
      <c r="K34" s="217"/>
      <c r="L34" s="467"/>
      <c r="M34" s="486"/>
      <c r="N34" s="486"/>
      <c r="O34" s="220" t="s">
        <v>632</v>
      </c>
      <c r="P34" s="616"/>
      <c r="Q34" s="217"/>
      <c r="R34" s="217"/>
      <c r="S34" s="99"/>
    </row>
    <row r="35" spans="1:19" x14ac:dyDescent="0.25">
      <c r="A35" s="99"/>
      <c r="B35" s="217"/>
      <c r="C35" s="9" t="s">
        <v>658</v>
      </c>
      <c r="D35" s="211"/>
      <c r="E35" s="617"/>
      <c r="F35" s="217"/>
      <c r="G35" s="217" t="s">
        <v>546</v>
      </c>
      <c r="H35" s="211"/>
      <c r="I35" s="485">
        <f>E35-E34</f>
        <v>0</v>
      </c>
      <c r="K35" s="486" t="str">
        <f>IF(I35&lt;0,"en trop","Gr à mettre")</f>
        <v>Gr à mettre</v>
      </c>
      <c r="L35" s="211"/>
      <c r="M35" s="217"/>
      <c r="N35" s="515"/>
      <c r="O35" s="217"/>
      <c r="P35" s="217"/>
      <c r="Q35" s="217"/>
      <c r="R35" s="217"/>
      <c r="S35" s="99"/>
    </row>
    <row r="37" spans="1:19" x14ac:dyDescent="0.25">
      <c r="K37" s="211" t="s">
        <v>713</v>
      </c>
    </row>
  </sheetData>
  <sheetProtection password="CC70" sheet="1" objects="1" scenarios="1"/>
  <mergeCells count="57">
    <mergeCell ref="S1:S2"/>
    <mergeCell ref="C1:O1"/>
    <mergeCell ref="E2:F2"/>
    <mergeCell ref="I9:J9"/>
    <mergeCell ref="P9:Q9"/>
    <mergeCell ref="M5:N5"/>
    <mergeCell ref="G3:I3"/>
    <mergeCell ref="S8:S10"/>
    <mergeCell ref="B8:B11"/>
    <mergeCell ref="C8:C11"/>
    <mergeCell ref="A8:A10"/>
    <mergeCell ref="E9:E10"/>
    <mergeCell ref="G9:G10"/>
    <mergeCell ref="E8:K8"/>
    <mergeCell ref="P30:Q30"/>
    <mergeCell ref="P17:Q17"/>
    <mergeCell ref="P18:Q18"/>
    <mergeCell ref="P19:Q19"/>
    <mergeCell ref="P20:Q20"/>
    <mergeCell ref="P21:Q21"/>
    <mergeCell ref="P12:Q12"/>
    <mergeCell ref="P13:Q13"/>
    <mergeCell ref="I10:J10"/>
    <mergeCell ref="P14:Q14"/>
    <mergeCell ref="G11:K11"/>
    <mergeCell ref="M8:M11"/>
    <mergeCell ref="N8:O11"/>
    <mergeCell ref="N12:O12"/>
    <mergeCell ref="N13:O13"/>
    <mergeCell ref="N14:O14"/>
    <mergeCell ref="P32:Q32"/>
    <mergeCell ref="P33:Q33"/>
    <mergeCell ref="P31:Q31"/>
    <mergeCell ref="P16:Q16"/>
    <mergeCell ref="N15:O15"/>
    <mergeCell ref="N16:O16"/>
    <mergeCell ref="N32:O32"/>
    <mergeCell ref="N33:O33"/>
    <mergeCell ref="N27:O27"/>
    <mergeCell ref="N28:O28"/>
    <mergeCell ref="N29:O29"/>
    <mergeCell ref="N30:O30"/>
    <mergeCell ref="N31:O31"/>
    <mergeCell ref="P27:Q27"/>
    <mergeCell ref="P28:Q28"/>
    <mergeCell ref="P29:Q29"/>
    <mergeCell ref="N24:O24"/>
    <mergeCell ref="N25:O25"/>
    <mergeCell ref="N26:O26"/>
    <mergeCell ref="P15:Q15"/>
    <mergeCell ref="N20:O20"/>
    <mergeCell ref="N21:O21"/>
    <mergeCell ref="N17:O17"/>
    <mergeCell ref="N18:O18"/>
    <mergeCell ref="N19:O19"/>
    <mergeCell ref="N22:O22"/>
    <mergeCell ref="N23:O23"/>
  </mergeCells>
  <conditionalFormatting sqref="I35">
    <cfRule type="cellIs" dxfId="4" priority="7" operator="lessThan">
      <formula>0</formula>
    </cfRule>
  </conditionalFormatting>
  <conditionalFormatting sqref="G7">
    <cfRule type="cellIs" dxfId="3" priority="2" operator="greaterThan">
      <formula>0.1</formula>
    </cfRule>
    <cfRule type="cellIs" dxfId="2" priority="3" operator="equal">
      <formula>0</formula>
    </cfRule>
  </conditionalFormatting>
  <conditionalFormatting sqref="P3">
    <cfRule type="cellIs" dxfId="1" priority="1" operator="lessThan">
      <formula>0.01</formula>
    </cfRule>
  </conditionalFormatting>
  <dataValidations disablePrompts="1" count="4">
    <dataValidation type="list" allowBlank="1" showInputMessage="1" showErrorMessage="1" sqref="C7">
      <formula1>"Gr, Ml à 5%"</formula1>
    </dataValidation>
    <dataValidation type="list" allowBlank="1" showInputMessage="1" showErrorMessage="1" sqref="M5:N5">
      <formula1>"Faites un choix,freddo, eonoferm color, fermiblanc, eonoferm bouquet, oenoferm rouge "</formula1>
    </dataValidation>
    <dataValidation type="list" errorStyle="warning" allowBlank="1" showInputMessage="1" showErrorMessage="1" errorTitle="Attention " error="je ne veux qu'un élément de ma liste_x000a_Merci" promptTitle="liste" prompt="choisir dans la liste" sqref="I10:J10">
      <formula1>$AB$1:$AB$5</formula1>
    </dataValidation>
    <dataValidation type="list" allowBlank="1" showInputMessage="1" showErrorMessage="1" sqref="K10">
      <formula1>$AC$1:$AC$3</formula1>
    </dataValidation>
  </dataValidations>
  <pageMargins left="0.17" right="0.15748031496062992" top="0.23622047244094491" bottom="0.19685039370078741" header="0.31496062992125984" footer="0.31496062992125984"/>
  <pageSetup paperSize="9"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60" zoomScaleNormal="160" workbookViewId="0">
      <pane xSplit="12" ySplit="16" topLeftCell="M17" activePane="bottomRight" state="frozenSplit"/>
      <selection pane="topRight" activeCell="K1" sqref="K1"/>
      <selection pane="bottomLeft" activeCell="A17" sqref="A17"/>
      <selection pane="bottomRight" activeCell="C8" sqref="C8"/>
    </sheetView>
  </sheetViews>
  <sheetFormatPr baseColWidth="10" defaultRowHeight="15" x14ac:dyDescent="0.25"/>
  <cols>
    <col min="1" max="1" width="11.42578125" style="212"/>
    <col min="2" max="2" width="7.7109375" customWidth="1"/>
    <col min="3" max="3" width="5.28515625" customWidth="1"/>
    <col min="4" max="4" width="7.28515625" customWidth="1"/>
    <col min="5" max="5" width="6.42578125" customWidth="1"/>
    <col min="11" max="11" width="11.5703125" customWidth="1"/>
    <col min="12" max="12" width="41.7109375" customWidth="1"/>
  </cols>
  <sheetData>
    <row r="1" spans="1:12" x14ac:dyDescent="0.25">
      <c r="A1" s="392"/>
      <c r="B1" s="392"/>
      <c r="C1" s="392"/>
      <c r="D1" s="392"/>
      <c r="E1" s="392"/>
      <c r="F1" s="392"/>
      <c r="G1" s="392"/>
      <c r="H1" s="392"/>
      <c r="I1" s="392"/>
      <c r="J1" s="392"/>
      <c r="K1" s="392"/>
      <c r="L1" s="392"/>
    </row>
    <row r="2" spans="1:12" ht="11.25" customHeight="1" x14ac:dyDescent="0.25">
      <c r="A2" s="392"/>
      <c r="B2" s="392"/>
      <c r="C2" s="392"/>
      <c r="D2" s="392"/>
      <c r="E2" s="392"/>
      <c r="F2" s="392"/>
      <c r="G2" s="392"/>
      <c r="H2" s="392"/>
      <c r="I2" s="392"/>
      <c r="J2" s="392"/>
      <c r="K2" s="392"/>
      <c r="L2" s="392"/>
    </row>
    <row r="3" spans="1:12" ht="12" customHeight="1" x14ac:dyDescent="0.25">
      <c r="A3" s="392"/>
      <c r="B3" s="392"/>
      <c r="C3" s="392"/>
      <c r="D3" s="392"/>
      <c r="E3" s="392"/>
      <c r="F3" s="392"/>
      <c r="G3" s="392"/>
      <c r="H3" s="392"/>
      <c r="I3" s="392"/>
      <c r="J3" s="392"/>
      <c r="K3" s="392"/>
      <c r="L3" s="392"/>
    </row>
    <row r="4" spans="1:12" ht="10.5" customHeight="1" x14ac:dyDescent="0.25">
      <c r="A4" s="392"/>
      <c r="B4" s="392"/>
      <c r="C4" s="392"/>
      <c r="D4" s="392"/>
      <c r="E4" s="392"/>
      <c r="F4" s="392"/>
      <c r="G4" s="392"/>
      <c r="H4" s="392"/>
      <c r="I4" s="392"/>
      <c r="J4" s="392"/>
      <c r="K4" s="392"/>
      <c r="L4" s="392"/>
    </row>
    <row r="5" spans="1:12" ht="21.75" customHeight="1" x14ac:dyDescent="0.25">
      <c r="A5" s="392"/>
      <c r="B5" s="393" t="s">
        <v>87</v>
      </c>
      <c r="C5" s="393">
        <v>1000</v>
      </c>
      <c r="D5" s="393" t="s">
        <v>10</v>
      </c>
      <c r="E5" s="393">
        <v>0.65</v>
      </c>
      <c r="F5" s="393" t="s">
        <v>86</v>
      </c>
      <c r="G5" s="392"/>
      <c r="H5" s="392"/>
      <c r="I5" s="392"/>
      <c r="J5" s="392"/>
      <c r="K5" s="392"/>
      <c r="L5" s="392"/>
    </row>
    <row r="6" spans="1:12" ht="40.5" customHeight="1" thickBot="1" x14ac:dyDescent="0.3">
      <c r="A6" s="392"/>
      <c r="B6" s="753" t="s">
        <v>183</v>
      </c>
      <c r="C6" s="753"/>
      <c r="D6" s="392"/>
      <c r="E6" s="754" t="s">
        <v>184</v>
      </c>
      <c r="F6" s="754"/>
      <c r="G6" s="392"/>
      <c r="H6" s="392"/>
      <c r="I6" s="392"/>
      <c r="J6" s="392"/>
      <c r="K6" s="392"/>
      <c r="L6" s="392"/>
    </row>
    <row r="7" spans="1:12" ht="15.75" thickBot="1" x14ac:dyDescent="0.3">
      <c r="A7" s="392"/>
      <c r="B7" s="392"/>
      <c r="C7" s="388">
        <v>500</v>
      </c>
      <c r="D7" s="392" t="s">
        <v>34</v>
      </c>
      <c r="E7" s="117">
        <f>E5/1000*C7</f>
        <v>0.32500000000000001</v>
      </c>
      <c r="F7" s="392" t="s">
        <v>4</v>
      </c>
      <c r="G7" s="392"/>
      <c r="H7" s="392"/>
      <c r="I7" s="392"/>
      <c r="J7" s="392"/>
      <c r="K7" s="392"/>
      <c r="L7" s="392"/>
    </row>
    <row r="8" spans="1:12" x14ac:dyDescent="0.25">
      <c r="A8" s="392"/>
      <c r="B8" s="392"/>
      <c r="C8" s="392"/>
      <c r="D8" s="392"/>
      <c r="E8" s="392"/>
      <c r="F8" s="392"/>
      <c r="G8" s="392"/>
      <c r="H8" s="392"/>
      <c r="I8" s="392"/>
      <c r="J8" s="392"/>
      <c r="K8" s="392"/>
      <c r="L8" s="392"/>
    </row>
    <row r="9" spans="1:12" x14ac:dyDescent="0.25">
      <c r="A9" s="392"/>
      <c r="B9" s="392"/>
      <c r="C9" s="392"/>
      <c r="D9" s="392"/>
      <c r="E9" s="392"/>
      <c r="F9" s="392"/>
      <c r="G9" s="392"/>
      <c r="H9" s="392"/>
      <c r="I9" s="392"/>
      <c r="J9" s="392"/>
      <c r="K9" s="392"/>
      <c r="L9" s="392"/>
    </row>
    <row r="10" spans="1:12" x14ac:dyDescent="0.25">
      <c r="A10" s="392"/>
      <c r="B10" s="392"/>
      <c r="C10" s="392"/>
      <c r="D10" s="392"/>
      <c r="E10" s="392"/>
      <c r="F10" s="392"/>
      <c r="G10" s="392"/>
      <c r="H10" s="392"/>
      <c r="I10" s="392"/>
      <c r="J10" s="392"/>
      <c r="K10" s="392"/>
      <c r="L10" s="392"/>
    </row>
    <row r="11" spans="1:12" x14ac:dyDescent="0.25">
      <c r="A11" s="392"/>
      <c r="B11" s="392"/>
      <c r="C11" s="392"/>
      <c r="D11" s="392"/>
      <c r="E11" s="392"/>
      <c r="F11" s="392"/>
      <c r="G11" s="392"/>
      <c r="H11" s="392"/>
      <c r="I11" s="392"/>
      <c r="J11" s="392"/>
      <c r="K11" s="392"/>
      <c r="L11" s="392"/>
    </row>
    <row r="12" spans="1:12" x14ac:dyDescent="0.25">
      <c r="A12" s="392"/>
      <c r="B12" s="392"/>
      <c r="C12" s="392"/>
      <c r="D12" s="392"/>
      <c r="E12" s="392"/>
      <c r="F12" s="392"/>
      <c r="G12" s="392"/>
      <c r="H12" s="392"/>
      <c r="I12" s="392"/>
      <c r="J12" s="392"/>
      <c r="K12" s="392"/>
      <c r="L12" s="392"/>
    </row>
    <row r="13" spans="1:12" x14ac:dyDescent="0.25">
      <c r="A13" s="392"/>
      <c r="B13" s="392"/>
      <c r="C13" s="392"/>
      <c r="D13" s="392"/>
      <c r="E13" s="392"/>
      <c r="F13" s="392"/>
      <c r="G13" s="392"/>
      <c r="H13" s="392"/>
      <c r="I13" s="392"/>
      <c r="J13" s="392"/>
      <c r="K13" s="392"/>
      <c r="L13" s="392"/>
    </row>
    <row r="14" spans="1:12" x14ac:dyDescent="0.25">
      <c r="A14" s="392"/>
      <c r="B14" s="392"/>
      <c r="C14" s="392"/>
      <c r="D14" s="392"/>
      <c r="E14" s="392"/>
      <c r="F14" s="392"/>
      <c r="G14" s="392"/>
      <c r="H14" s="392"/>
      <c r="I14" s="392"/>
      <c r="J14" s="392"/>
      <c r="K14" s="392"/>
      <c r="L14" s="392"/>
    </row>
    <row r="15" spans="1:12" ht="18.75" customHeight="1" x14ac:dyDescent="0.25">
      <c r="A15" s="392"/>
      <c r="B15" s="392"/>
      <c r="C15" s="392"/>
      <c r="D15" s="392"/>
      <c r="E15" s="392"/>
      <c r="F15" s="392"/>
      <c r="G15" s="392"/>
      <c r="H15" s="392"/>
      <c r="I15" s="392"/>
      <c r="J15" s="392"/>
      <c r="K15" s="392"/>
      <c r="L15" s="392"/>
    </row>
    <row r="16" spans="1:12" ht="43.5" customHeight="1" x14ac:dyDescent="0.25">
      <c r="A16" s="392"/>
      <c r="B16" s="392"/>
      <c r="C16" s="392"/>
      <c r="D16" s="392"/>
      <c r="E16" s="392"/>
      <c r="F16" s="392"/>
      <c r="G16" s="392"/>
      <c r="H16" s="392"/>
      <c r="I16" s="392"/>
      <c r="J16" s="392"/>
      <c r="K16" s="392"/>
      <c r="L16" s="392"/>
    </row>
  </sheetData>
  <sheetProtection password="CC70" sheet="1" objects="1" scenarios="1"/>
  <mergeCells count="2">
    <mergeCell ref="B6:C6"/>
    <mergeCell ref="E6:F6"/>
  </mergeCells>
  <pageMargins left="0.70866141732283472" right="0.70866141732283472" top="0.74803149606299213" bottom="0.74803149606299213" header="0.31496062992125984" footer="0.31496062992125984"/>
  <pageSetup paperSize="9" orientation="landscape" horizontalDpi="4294967293" verticalDpi="0" r:id="rId1"/>
  <headerFooter>
    <oddFooter>&amp;C&amp;F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110" zoomScaleNormal="110" workbookViewId="0">
      <pane xSplit="16" ySplit="17" topLeftCell="Q42" activePane="bottomRight" state="frozenSplit"/>
      <selection pane="topRight" activeCell="P1" sqref="P1"/>
      <selection pane="bottomLeft" activeCell="A18" sqref="A18"/>
      <selection pane="bottomRight" activeCell="J13" sqref="J13"/>
    </sheetView>
  </sheetViews>
  <sheetFormatPr baseColWidth="10" defaultRowHeight="15" x14ac:dyDescent="0.25"/>
  <cols>
    <col min="1" max="1" width="16.85546875" customWidth="1"/>
    <col min="3" max="3" width="8" customWidth="1"/>
    <col min="4" max="5" width="3.42578125" customWidth="1"/>
    <col min="6" max="6" width="8.140625" customWidth="1"/>
    <col min="7" max="7" width="3.85546875" customWidth="1"/>
    <col min="16" max="16" width="54.5703125" customWidth="1"/>
  </cols>
  <sheetData>
    <row r="1" spans="1:16" ht="21" x14ac:dyDescent="0.35">
      <c r="A1" s="56"/>
      <c r="B1" s="56"/>
      <c r="C1" s="56"/>
      <c r="D1" s="56"/>
      <c r="E1" s="56"/>
      <c r="F1" s="56"/>
      <c r="G1" s="56"/>
      <c r="H1" s="56"/>
      <c r="I1" s="56"/>
      <c r="J1" s="56"/>
      <c r="K1" s="56"/>
      <c r="L1" s="56"/>
      <c r="M1" s="56"/>
      <c r="N1" s="56"/>
      <c r="O1" s="56"/>
      <c r="P1" s="56"/>
    </row>
    <row r="2" spans="1:16" ht="21" x14ac:dyDescent="0.35">
      <c r="A2" s="56"/>
      <c r="B2" s="56"/>
      <c r="C2" s="56"/>
      <c r="D2" s="56"/>
      <c r="E2" s="56"/>
      <c r="F2" s="56"/>
      <c r="G2" s="56"/>
      <c r="H2" s="56"/>
      <c r="I2" s="56"/>
      <c r="J2" s="56"/>
      <c r="K2" s="56"/>
      <c r="L2" s="56"/>
      <c r="M2" s="56"/>
      <c r="N2" s="56"/>
      <c r="O2" s="56"/>
      <c r="P2" s="56"/>
    </row>
    <row r="3" spans="1:16" ht="21.75" thickBot="1" x14ac:dyDescent="0.4">
      <c r="A3" s="56"/>
      <c r="B3" s="65"/>
      <c r="C3" s="66" t="s">
        <v>84</v>
      </c>
      <c r="D3" s="65"/>
      <c r="E3" s="65"/>
      <c r="F3" s="65"/>
      <c r="G3" s="56"/>
      <c r="H3" s="56"/>
      <c r="I3" s="56"/>
      <c r="J3" s="56"/>
      <c r="K3" s="56"/>
      <c r="L3" s="56"/>
      <c r="M3" s="56"/>
      <c r="N3" s="56"/>
      <c r="O3" s="56"/>
      <c r="P3" s="56"/>
    </row>
    <row r="4" spans="1:16" ht="22.5" thickTop="1" thickBot="1" x14ac:dyDescent="0.4">
      <c r="A4" s="56"/>
      <c r="B4" s="56"/>
      <c r="C4" s="64" t="s">
        <v>85</v>
      </c>
      <c r="D4" s="64"/>
      <c r="E4" s="56"/>
      <c r="F4" s="56"/>
      <c r="G4" s="56"/>
      <c r="H4" s="56"/>
      <c r="I4" s="56"/>
      <c r="J4" s="56"/>
      <c r="K4" s="56"/>
      <c r="L4" s="56"/>
      <c r="M4" s="56"/>
      <c r="N4" s="56"/>
      <c r="O4" s="56"/>
      <c r="P4" s="56"/>
    </row>
    <row r="5" spans="1:16" ht="22.5" thickTop="1" thickBot="1" x14ac:dyDescent="0.4">
      <c r="A5" s="56"/>
      <c r="B5" s="56"/>
      <c r="C5" s="56"/>
      <c r="D5" s="56"/>
      <c r="E5" s="56"/>
      <c r="F5" s="56"/>
      <c r="G5" s="56"/>
      <c r="H5" s="56"/>
      <c r="I5" s="56"/>
      <c r="J5" s="56"/>
      <c r="K5" s="56"/>
      <c r="L5" s="56"/>
      <c r="M5" s="56"/>
      <c r="N5" s="56"/>
      <c r="O5" s="56"/>
      <c r="P5" s="56"/>
    </row>
    <row r="6" spans="1:16" ht="21.75" thickBot="1" x14ac:dyDescent="0.4">
      <c r="A6" s="56"/>
      <c r="B6" s="58" t="s">
        <v>83</v>
      </c>
      <c r="C6" s="60">
        <v>100</v>
      </c>
      <c r="D6" s="56" t="s">
        <v>4</v>
      </c>
      <c r="E6" s="56"/>
      <c r="F6" s="56"/>
      <c r="G6" s="56"/>
      <c r="H6" s="56"/>
      <c r="I6" s="56"/>
      <c r="J6" s="56"/>
      <c r="K6" s="56"/>
      <c r="L6" s="56"/>
      <c r="M6" s="56"/>
      <c r="N6" s="56"/>
      <c r="O6" s="56"/>
      <c r="P6" s="56"/>
    </row>
    <row r="7" spans="1:16" ht="21.75" thickBot="1" x14ac:dyDescent="0.4">
      <c r="A7" s="56"/>
      <c r="B7" s="56"/>
      <c r="C7" s="58" t="s">
        <v>81</v>
      </c>
      <c r="D7" s="56"/>
      <c r="E7" s="56"/>
      <c r="F7" s="59" t="s">
        <v>82</v>
      </c>
      <c r="G7" s="56"/>
      <c r="H7" s="56"/>
      <c r="I7" s="56"/>
      <c r="J7" s="56"/>
      <c r="K7" s="56"/>
      <c r="L7" s="56"/>
      <c r="M7" s="56"/>
      <c r="N7" s="56"/>
      <c r="O7" s="56"/>
      <c r="P7" s="56"/>
    </row>
    <row r="8" spans="1:16" ht="21.75" thickBot="1" x14ac:dyDescent="0.4">
      <c r="A8" s="56"/>
      <c r="B8" s="56"/>
      <c r="C8" s="61">
        <v>10</v>
      </c>
      <c r="D8" s="62" t="s">
        <v>34</v>
      </c>
      <c r="E8" s="62"/>
      <c r="F8" s="61">
        <v>30</v>
      </c>
      <c r="G8" s="56" t="s">
        <v>34</v>
      </c>
      <c r="H8" s="56"/>
      <c r="I8" s="56"/>
      <c r="J8" s="56"/>
      <c r="K8" s="56"/>
      <c r="L8" s="56"/>
      <c r="M8" s="56"/>
      <c r="N8" s="56"/>
      <c r="O8" s="56"/>
      <c r="P8" s="56"/>
    </row>
    <row r="9" spans="1:16" ht="21" x14ac:dyDescent="0.35">
      <c r="A9" s="56"/>
      <c r="B9" s="56"/>
      <c r="C9" s="56"/>
      <c r="D9" s="56"/>
      <c r="E9" s="56"/>
      <c r="F9" s="56"/>
      <c r="G9" s="56"/>
      <c r="H9" s="56"/>
      <c r="I9" s="56"/>
      <c r="J9" s="56"/>
      <c r="K9" s="56"/>
      <c r="L9" s="56"/>
      <c r="M9" s="56"/>
      <c r="N9" s="56"/>
      <c r="O9" s="56"/>
      <c r="P9" s="56"/>
    </row>
    <row r="10" spans="1:16" ht="21" x14ac:dyDescent="0.35">
      <c r="A10" s="56"/>
      <c r="B10" s="56"/>
      <c r="C10" s="56"/>
      <c r="D10" s="56"/>
      <c r="E10" s="56"/>
      <c r="F10" s="56"/>
      <c r="G10" s="56"/>
      <c r="H10" s="56"/>
      <c r="I10" s="56"/>
      <c r="J10" s="56"/>
      <c r="K10" s="56"/>
      <c r="L10" s="56"/>
      <c r="M10" s="56"/>
      <c r="N10" s="56"/>
      <c r="O10" s="56"/>
      <c r="P10" s="56"/>
    </row>
    <row r="11" spans="1:16" ht="21.75" thickBot="1" x14ac:dyDescent="0.4">
      <c r="A11" s="56"/>
      <c r="B11" s="56"/>
      <c r="C11" s="56"/>
      <c r="D11" s="56"/>
      <c r="E11" s="56"/>
      <c r="F11" s="56"/>
      <c r="G11" s="56"/>
      <c r="H11" s="56"/>
      <c r="I11" s="56"/>
      <c r="J11" s="56"/>
      <c r="K11" s="56"/>
      <c r="L11" s="56"/>
      <c r="M11" s="56"/>
      <c r="N11" s="56"/>
      <c r="O11" s="56"/>
      <c r="P11" s="56"/>
    </row>
    <row r="12" spans="1:16" ht="21.75" thickBot="1" x14ac:dyDescent="0.4">
      <c r="A12" s="56"/>
      <c r="B12" s="58" t="s">
        <v>79</v>
      </c>
      <c r="C12" s="391">
        <v>0.1</v>
      </c>
      <c r="D12" s="56" t="s">
        <v>4</v>
      </c>
      <c r="E12" s="56"/>
      <c r="F12" s="56"/>
      <c r="G12" s="56"/>
      <c r="H12" s="56"/>
      <c r="I12" s="56"/>
      <c r="J12" s="56"/>
      <c r="K12" s="56"/>
      <c r="L12" s="56"/>
      <c r="M12" s="56"/>
      <c r="N12" s="56"/>
      <c r="O12" s="56"/>
      <c r="P12" s="56"/>
    </row>
    <row r="13" spans="1:16" ht="21" x14ac:dyDescent="0.35">
      <c r="A13" s="56"/>
      <c r="B13" s="56" t="s">
        <v>80</v>
      </c>
      <c r="C13" s="56"/>
      <c r="D13" s="56"/>
      <c r="E13" s="56"/>
      <c r="F13" s="56"/>
      <c r="G13" s="56"/>
      <c r="H13" s="56"/>
      <c r="I13" s="56"/>
      <c r="J13" s="56"/>
      <c r="K13" s="56"/>
      <c r="L13" s="56"/>
      <c r="M13" s="56"/>
      <c r="N13" s="56"/>
      <c r="O13" s="56"/>
      <c r="P13" s="56"/>
    </row>
    <row r="14" spans="1:16" ht="21.75" thickBot="1" x14ac:dyDescent="0.4">
      <c r="A14" s="56"/>
      <c r="B14" s="56"/>
      <c r="C14" s="56" t="s">
        <v>81</v>
      </c>
      <c r="D14" s="56"/>
      <c r="E14" s="56"/>
      <c r="F14" s="56" t="s">
        <v>82</v>
      </c>
      <c r="G14" s="56"/>
      <c r="H14" s="56"/>
      <c r="I14" s="56"/>
      <c r="J14" s="56"/>
      <c r="K14" s="56"/>
      <c r="L14" s="56"/>
      <c r="M14" s="56"/>
      <c r="N14" s="56"/>
      <c r="O14" s="56"/>
      <c r="P14" s="56"/>
    </row>
    <row r="15" spans="1:16" ht="21.75" thickBot="1" x14ac:dyDescent="0.4">
      <c r="A15" s="56"/>
      <c r="B15" s="56"/>
      <c r="C15" s="63">
        <f>C8/C6*C12</f>
        <v>1.0000000000000002E-2</v>
      </c>
      <c r="D15" s="56" t="s">
        <v>34</v>
      </c>
      <c r="E15" s="56"/>
      <c r="F15" s="63">
        <f>F8/C6*C12</f>
        <v>0.03</v>
      </c>
      <c r="G15" s="56" t="s">
        <v>34</v>
      </c>
      <c r="H15" s="56"/>
      <c r="I15" s="56"/>
      <c r="J15" s="56"/>
      <c r="K15" s="56"/>
      <c r="L15" s="56"/>
      <c r="M15" s="56"/>
      <c r="N15" s="56"/>
      <c r="O15" s="56"/>
      <c r="P15" s="56"/>
    </row>
    <row r="16" spans="1:16" ht="24" customHeight="1" x14ac:dyDescent="0.35">
      <c r="A16" s="56"/>
      <c r="B16" s="56"/>
      <c r="C16" s="56"/>
      <c r="D16" s="56"/>
      <c r="E16" s="56"/>
      <c r="F16" s="56"/>
      <c r="G16" s="56"/>
      <c r="H16" s="56"/>
      <c r="I16" s="56"/>
      <c r="J16" s="56"/>
      <c r="K16" s="56"/>
      <c r="L16" s="56"/>
      <c r="M16" s="56"/>
      <c r="N16" s="56"/>
      <c r="O16" s="56"/>
      <c r="P16" s="56"/>
    </row>
    <row r="17" spans="1:16" ht="85.5" customHeight="1" x14ac:dyDescent="0.25">
      <c r="A17" s="57"/>
      <c r="B17" s="57"/>
      <c r="C17" s="57"/>
      <c r="D17" s="57"/>
      <c r="E17" s="57"/>
      <c r="F17" s="57"/>
      <c r="G17" s="57"/>
      <c r="H17" s="57"/>
      <c r="I17" s="57"/>
      <c r="J17" s="57"/>
      <c r="K17" s="57"/>
      <c r="L17" s="57"/>
      <c r="M17" s="57"/>
      <c r="N17" s="57"/>
      <c r="O17" s="57"/>
      <c r="P17" s="57"/>
    </row>
    <row r="18" spans="1:16" x14ac:dyDescent="0.25">
      <c r="A18" s="57"/>
      <c r="B18" s="57"/>
      <c r="C18" s="57"/>
      <c r="D18" s="57"/>
      <c r="E18" s="57"/>
      <c r="F18" s="57"/>
      <c r="G18" s="57"/>
      <c r="H18" s="57"/>
      <c r="I18" s="57"/>
      <c r="J18" s="57"/>
      <c r="K18" s="57"/>
      <c r="L18" s="57"/>
      <c r="M18" s="57"/>
      <c r="N18" s="57"/>
      <c r="O18" s="57"/>
      <c r="P18" s="57"/>
    </row>
  </sheetData>
  <sheetProtection password="CC70" sheet="1" objects="1" scenarios="1"/>
  <pageMargins left="0.70866141732283472" right="0.70866141732283472" top="0.74803149606299213" bottom="0.74803149606299213" header="0.31496062992125984" footer="0.31496062992125984"/>
  <pageSetup paperSize="9" orientation="landscape" horizontalDpi="4294967293" verticalDpi="0" r:id="rId1"/>
  <headerFooter>
    <oddFooter>&amp;C&amp;F                   &amp;A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211"/>
  <sheetViews>
    <sheetView topLeftCell="A2" zoomScale="110" zoomScaleNormal="110" workbookViewId="0">
      <pane xSplit="16" ySplit="16" topLeftCell="Q39" activePane="bottomRight" state="frozenSplit"/>
      <selection activeCell="A2" sqref="A2"/>
      <selection pane="topRight" activeCell="P1" sqref="P1"/>
      <selection pane="bottomLeft" activeCell="P177" sqref="P177"/>
      <selection pane="bottomRight" activeCell="J8" sqref="J8"/>
    </sheetView>
  </sheetViews>
  <sheetFormatPr baseColWidth="10" defaultRowHeight="15" x14ac:dyDescent="0.25"/>
  <cols>
    <col min="1" max="1" width="7.140625" customWidth="1"/>
    <col min="5" max="5" width="9.140625" customWidth="1"/>
    <col min="11" max="11" width="6.5703125" customWidth="1"/>
    <col min="12" max="12" width="6.28515625" customWidth="1"/>
    <col min="13" max="13" width="4.5703125" customWidth="1"/>
    <col min="14" max="14" width="4.7109375" customWidth="1"/>
    <col min="15" max="15" width="6.42578125" customWidth="1"/>
    <col min="16" max="16" width="4.85546875" customWidth="1"/>
  </cols>
  <sheetData>
    <row r="1" spans="1:16" x14ac:dyDescent="0.25">
      <c r="A1" s="130"/>
      <c r="B1" s="130"/>
      <c r="C1" s="130"/>
      <c r="D1" s="130"/>
      <c r="E1" s="130"/>
      <c r="F1" s="130"/>
      <c r="G1" s="130"/>
      <c r="H1" s="130"/>
      <c r="I1" s="130"/>
      <c r="J1" s="130"/>
      <c r="K1" s="130"/>
      <c r="L1" s="130"/>
      <c r="M1" s="130"/>
      <c r="N1" s="130"/>
      <c r="O1" s="130"/>
      <c r="P1" s="130"/>
    </row>
    <row r="2" spans="1:16" x14ac:dyDescent="0.25">
      <c r="A2" s="130"/>
      <c r="B2" s="130"/>
      <c r="C2" s="130"/>
      <c r="D2" s="130"/>
      <c r="E2" s="130"/>
      <c r="F2" s="130"/>
      <c r="G2" s="130"/>
      <c r="H2" s="130"/>
      <c r="I2" s="130"/>
      <c r="J2" s="130"/>
      <c r="K2" s="130"/>
      <c r="L2" s="130"/>
      <c r="M2" s="130"/>
      <c r="N2" s="130"/>
      <c r="O2" s="130"/>
      <c r="P2" s="130"/>
    </row>
    <row r="3" spans="1:16" ht="21" x14ac:dyDescent="0.35">
      <c r="A3" s="130"/>
      <c r="B3" s="130"/>
      <c r="C3" s="130"/>
      <c r="D3" s="755" t="s">
        <v>203</v>
      </c>
      <c r="E3" s="755"/>
      <c r="F3" s="755"/>
      <c r="G3" s="755" t="s">
        <v>204</v>
      </c>
      <c r="H3" s="755"/>
      <c r="I3" s="755"/>
      <c r="J3" s="131"/>
      <c r="K3" s="130"/>
      <c r="L3" s="130"/>
      <c r="M3" s="130"/>
      <c r="N3" s="130"/>
      <c r="O3" s="130"/>
      <c r="P3" s="130"/>
    </row>
    <row r="4" spans="1:16" ht="5.25" customHeight="1" x14ac:dyDescent="0.25">
      <c r="A4" s="130"/>
      <c r="B4" s="130"/>
      <c r="C4" s="130"/>
      <c r="D4" s="130"/>
      <c r="E4" s="130"/>
      <c r="F4" s="130"/>
      <c r="G4" s="130"/>
      <c r="H4" s="130"/>
      <c r="I4" s="130"/>
      <c r="J4" s="130"/>
      <c r="K4" s="130"/>
      <c r="L4" s="130"/>
      <c r="M4" s="130"/>
      <c r="N4" s="130"/>
      <c r="O4" s="130"/>
      <c r="P4" s="130"/>
    </row>
    <row r="5" spans="1:16" ht="30" x14ac:dyDescent="0.25">
      <c r="A5" s="130"/>
      <c r="B5" s="130"/>
      <c r="C5" s="130"/>
      <c r="D5" s="759" t="s">
        <v>186</v>
      </c>
      <c r="E5" s="759" t="s">
        <v>187</v>
      </c>
      <c r="F5" s="759" t="s">
        <v>190</v>
      </c>
      <c r="G5" s="759" t="s">
        <v>201</v>
      </c>
      <c r="H5" s="132" t="s">
        <v>188</v>
      </c>
      <c r="I5" s="132" t="s">
        <v>191</v>
      </c>
      <c r="J5" s="132" t="s">
        <v>193</v>
      </c>
      <c r="K5" s="130"/>
      <c r="L5" s="130"/>
      <c r="M5" s="130"/>
      <c r="N5" s="130"/>
      <c r="O5" s="130"/>
      <c r="P5" s="130"/>
    </row>
    <row r="6" spans="1:16" x14ac:dyDescent="0.25">
      <c r="A6" s="130"/>
      <c r="B6" s="130"/>
      <c r="C6" s="130"/>
      <c r="D6" s="759"/>
      <c r="E6" s="759"/>
      <c r="F6" s="759"/>
      <c r="G6" s="759"/>
      <c r="H6" s="132" t="s">
        <v>189</v>
      </c>
      <c r="I6" s="132" t="s">
        <v>192</v>
      </c>
      <c r="J6" s="132" t="s">
        <v>194</v>
      </c>
      <c r="K6" s="130"/>
      <c r="L6" s="130"/>
      <c r="M6" s="130"/>
      <c r="N6" s="130"/>
      <c r="O6" s="130"/>
      <c r="P6" s="130"/>
    </row>
    <row r="7" spans="1:16" ht="15" customHeight="1" thickBot="1" x14ac:dyDescent="0.3">
      <c r="A7" s="130"/>
      <c r="B7" s="130"/>
      <c r="C7" s="130"/>
      <c r="D7" s="133" t="s">
        <v>195</v>
      </c>
      <c r="E7" s="133" t="s">
        <v>196</v>
      </c>
      <c r="F7" s="133" t="s">
        <v>198</v>
      </c>
      <c r="G7" s="133" t="s">
        <v>202</v>
      </c>
      <c r="H7" s="133" t="s">
        <v>197</v>
      </c>
      <c r="I7" s="133" t="s">
        <v>199</v>
      </c>
      <c r="J7" s="133" t="s">
        <v>200</v>
      </c>
      <c r="K7" s="130"/>
      <c r="L7" s="130"/>
      <c r="M7" s="130"/>
      <c r="N7" s="130"/>
      <c r="O7" s="130"/>
      <c r="P7" s="130"/>
    </row>
    <row r="8" spans="1:16" ht="24" customHeight="1" thickBot="1" x14ac:dyDescent="0.3">
      <c r="A8" s="130"/>
      <c r="B8" s="130"/>
      <c r="C8" s="213">
        <v>54</v>
      </c>
      <c r="D8" s="128">
        <f t="shared" ref="D8:J8" si="0">VLOOKUP(C8,A48:H198,2,TRUE)</f>
        <v>1053</v>
      </c>
      <c r="E8" s="389">
        <f t="shared" si="0"/>
        <v>53</v>
      </c>
      <c r="F8" s="123">
        <f t="shared" si="0"/>
        <v>7.3</v>
      </c>
      <c r="G8" s="124">
        <f t="shared" si="0"/>
        <v>13.1</v>
      </c>
      <c r="H8" s="125">
        <f t="shared" si="0"/>
        <v>11.2</v>
      </c>
      <c r="I8" s="126">
        <f t="shared" si="0"/>
        <v>126</v>
      </c>
      <c r="J8" s="127">
        <f t="shared" si="0"/>
        <v>7</v>
      </c>
      <c r="K8" s="130"/>
      <c r="L8" s="130"/>
      <c r="M8" s="130"/>
      <c r="N8" s="130"/>
      <c r="O8" s="130"/>
      <c r="P8" s="130"/>
    </row>
    <row r="9" spans="1:16" x14ac:dyDescent="0.25">
      <c r="A9" s="130"/>
      <c r="B9" s="130"/>
      <c r="C9" s="130"/>
      <c r="D9" s="130"/>
      <c r="E9" s="130"/>
      <c r="F9" s="130"/>
      <c r="G9" s="130"/>
      <c r="H9" s="130"/>
      <c r="I9" s="130"/>
      <c r="J9" s="130"/>
      <c r="K9" s="130"/>
      <c r="L9" s="130"/>
      <c r="M9" s="130"/>
      <c r="N9" s="130"/>
      <c r="O9" s="130"/>
      <c r="P9" s="130"/>
    </row>
    <row r="10" spans="1:16" x14ac:dyDescent="0.25">
      <c r="A10" s="130"/>
      <c r="B10" s="760" t="s">
        <v>358</v>
      </c>
      <c r="C10" s="760"/>
      <c r="D10" s="760"/>
      <c r="E10" s="760"/>
      <c r="F10" s="760"/>
      <c r="G10" s="760"/>
      <c r="H10" s="760"/>
      <c r="I10" s="760"/>
      <c r="J10" s="760"/>
      <c r="K10" s="760"/>
      <c r="L10" s="760"/>
      <c r="M10" s="760"/>
      <c r="N10" s="760"/>
      <c r="O10" s="760"/>
      <c r="P10" s="130"/>
    </row>
    <row r="11" spans="1:16" x14ac:dyDescent="0.25">
      <c r="A11" s="130"/>
      <c r="B11" s="760"/>
      <c r="C11" s="760"/>
      <c r="D11" s="760"/>
      <c r="E11" s="760"/>
      <c r="F11" s="760"/>
      <c r="G11" s="760"/>
      <c r="H11" s="760"/>
      <c r="I11" s="760"/>
      <c r="J11" s="760"/>
      <c r="K11" s="760"/>
      <c r="L11" s="760"/>
      <c r="M11" s="760"/>
      <c r="N11" s="760"/>
      <c r="O11" s="760"/>
      <c r="P11" s="130"/>
    </row>
    <row r="12" spans="1:16" ht="103.5" customHeight="1" x14ac:dyDescent="0.25">
      <c r="A12" s="130"/>
      <c r="B12" s="760"/>
      <c r="C12" s="760"/>
      <c r="D12" s="760"/>
      <c r="E12" s="760"/>
      <c r="F12" s="760"/>
      <c r="G12" s="760"/>
      <c r="H12" s="760"/>
      <c r="I12" s="760"/>
      <c r="J12" s="760"/>
      <c r="K12" s="760"/>
      <c r="L12" s="760"/>
      <c r="M12" s="760"/>
      <c r="N12" s="760"/>
      <c r="O12" s="760"/>
      <c r="P12" s="130"/>
    </row>
    <row r="13" spans="1:16" ht="27.75" customHeight="1" x14ac:dyDescent="0.25">
      <c r="A13" s="130"/>
      <c r="B13" s="761" t="s">
        <v>205</v>
      </c>
      <c r="C13" s="761"/>
      <c r="D13" s="761"/>
      <c r="E13" s="761"/>
      <c r="F13" s="761"/>
      <c r="G13" s="761"/>
      <c r="H13" s="761"/>
      <c r="I13" s="761"/>
      <c r="J13" s="761"/>
      <c r="K13" s="761"/>
      <c r="L13" s="761"/>
      <c r="M13" s="761"/>
      <c r="N13" s="761"/>
      <c r="O13" s="761"/>
      <c r="P13" s="130"/>
    </row>
    <row r="14" spans="1:16" x14ac:dyDescent="0.25">
      <c r="A14" s="130"/>
      <c r="B14" s="761"/>
      <c r="C14" s="761"/>
      <c r="D14" s="761"/>
      <c r="E14" s="761"/>
      <c r="F14" s="761"/>
      <c r="G14" s="761"/>
      <c r="H14" s="761"/>
      <c r="I14" s="761"/>
      <c r="J14" s="761"/>
      <c r="K14" s="761"/>
      <c r="L14" s="761"/>
      <c r="M14" s="761"/>
      <c r="N14" s="761"/>
      <c r="O14" s="761"/>
      <c r="P14" s="130"/>
    </row>
    <row r="15" spans="1:16" ht="47.25" customHeight="1" x14ac:dyDescent="0.25">
      <c r="A15" s="130"/>
      <c r="B15" s="761"/>
      <c r="C15" s="761"/>
      <c r="D15" s="761"/>
      <c r="E15" s="761"/>
      <c r="F15" s="761"/>
      <c r="G15" s="761"/>
      <c r="H15" s="761"/>
      <c r="I15" s="761"/>
      <c r="J15" s="761"/>
      <c r="K15" s="761"/>
      <c r="L15" s="761"/>
      <c r="M15" s="761"/>
      <c r="N15" s="761"/>
      <c r="O15" s="761"/>
      <c r="P15" s="130"/>
    </row>
    <row r="16" spans="1:16" ht="29.25" customHeight="1" x14ac:dyDescent="0.25">
      <c r="A16" s="130"/>
      <c r="B16" s="130"/>
      <c r="C16" s="130"/>
      <c r="D16" s="130"/>
      <c r="E16" s="130"/>
      <c r="F16" s="130"/>
      <c r="G16" s="130"/>
      <c r="H16" s="130"/>
      <c r="I16" s="130"/>
      <c r="J16" s="130"/>
      <c r="K16" s="130"/>
      <c r="L16" s="130"/>
      <c r="M16" s="130"/>
      <c r="N16" s="130"/>
      <c r="O16" s="130"/>
      <c r="P16" s="130"/>
    </row>
    <row r="17" spans="1:16" ht="81" customHeight="1" x14ac:dyDescent="0.25">
      <c r="A17" s="130"/>
      <c r="B17" s="130"/>
      <c r="C17" s="130"/>
      <c r="D17" s="130"/>
      <c r="E17" s="130"/>
      <c r="F17" s="130"/>
      <c r="G17" s="130"/>
      <c r="H17" s="130"/>
      <c r="I17" s="130"/>
      <c r="J17" s="130"/>
      <c r="K17" s="130"/>
      <c r="L17" s="130"/>
      <c r="M17" s="130"/>
      <c r="N17" s="130"/>
      <c r="O17" s="130"/>
      <c r="P17" s="130"/>
    </row>
    <row r="44" spans="1:8" x14ac:dyDescent="0.25">
      <c r="B44" s="756" t="s">
        <v>185</v>
      </c>
      <c r="C44" s="757"/>
      <c r="D44" s="757"/>
      <c r="E44" s="757"/>
      <c r="F44" s="757"/>
      <c r="G44" s="757"/>
      <c r="H44" s="757"/>
    </row>
    <row r="45" spans="1:8" ht="30" x14ac:dyDescent="0.25">
      <c r="B45" s="758" t="s">
        <v>186</v>
      </c>
      <c r="C45" s="758" t="s">
        <v>187</v>
      </c>
      <c r="D45" s="758" t="s">
        <v>190</v>
      </c>
      <c r="E45" s="758" t="s">
        <v>201</v>
      </c>
      <c r="F45" s="120" t="s">
        <v>188</v>
      </c>
      <c r="G45" s="120" t="s">
        <v>191</v>
      </c>
      <c r="H45" s="120" t="s">
        <v>193</v>
      </c>
    </row>
    <row r="46" spans="1:8" x14ac:dyDescent="0.25">
      <c r="B46" s="758"/>
      <c r="C46" s="758"/>
      <c r="D46" s="758"/>
      <c r="E46" s="758"/>
      <c r="F46" s="120" t="s">
        <v>189</v>
      </c>
      <c r="G46" s="120" t="s">
        <v>192</v>
      </c>
      <c r="H46" s="120" t="s">
        <v>194</v>
      </c>
    </row>
    <row r="47" spans="1:8" ht="30" x14ac:dyDescent="0.25">
      <c r="A47" s="121" t="s">
        <v>195</v>
      </c>
      <c r="C47" s="121" t="s">
        <v>196</v>
      </c>
      <c r="D47" s="121" t="s">
        <v>198</v>
      </c>
      <c r="E47" s="121" t="s">
        <v>202</v>
      </c>
      <c r="F47" s="121" t="s">
        <v>197</v>
      </c>
      <c r="G47" s="121" t="s">
        <v>199</v>
      </c>
      <c r="H47" s="121" t="s">
        <v>200</v>
      </c>
    </row>
    <row r="48" spans="1:8" s="129" customFormat="1" x14ac:dyDescent="0.25">
      <c r="A48">
        <v>1</v>
      </c>
      <c r="C48" s="134"/>
    </row>
    <row r="49" spans="1:8" x14ac:dyDescent="0.25">
      <c r="A49">
        <v>2</v>
      </c>
      <c r="B49" s="119">
        <v>1001</v>
      </c>
      <c r="C49" s="119">
        <v>1</v>
      </c>
      <c r="D49" s="119">
        <v>0.1</v>
      </c>
      <c r="E49" s="119">
        <v>0.3</v>
      </c>
      <c r="F49" s="119">
        <v>0.2</v>
      </c>
      <c r="G49" s="119">
        <v>2</v>
      </c>
      <c r="H49" s="119">
        <v>0.1</v>
      </c>
    </row>
    <row r="50" spans="1:8" x14ac:dyDescent="0.25">
      <c r="A50">
        <v>3</v>
      </c>
      <c r="B50" s="119">
        <v>1002</v>
      </c>
      <c r="C50" s="119">
        <v>2</v>
      </c>
      <c r="D50" s="119">
        <v>0.3</v>
      </c>
      <c r="E50" s="119">
        <v>0.5</v>
      </c>
      <c r="F50" s="119">
        <v>0.4</v>
      </c>
      <c r="G50" s="119">
        <v>5</v>
      </c>
      <c r="H50" s="119">
        <v>0.3</v>
      </c>
    </row>
    <row r="51" spans="1:8" x14ac:dyDescent="0.25">
      <c r="A51">
        <v>4</v>
      </c>
      <c r="B51" s="119">
        <v>1003</v>
      </c>
      <c r="C51" s="119">
        <v>3</v>
      </c>
      <c r="D51" s="119">
        <v>0.4</v>
      </c>
      <c r="E51" s="119">
        <v>0.8</v>
      </c>
      <c r="F51" s="119">
        <v>0.7</v>
      </c>
      <c r="G51" s="119">
        <v>7</v>
      </c>
      <c r="H51" s="119">
        <v>0.4</v>
      </c>
    </row>
    <row r="52" spans="1:8" x14ac:dyDescent="0.25">
      <c r="A52">
        <v>5</v>
      </c>
      <c r="B52" s="119">
        <v>1004</v>
      </c>
      <c r="C52" s="119">
        <v>4</v>
      </c>
      <c r="D52" s="119">
        <v>0.6</v>
      </c>
      <c r="E52" s="119">
        <v>1</v>
      </c>
      <c r="F52" s="119">
        <v>0.9</v>
      </c>
      <c r="G52" s="119">
        <v>9</v>
      </c>
      <c r="H52" s="119">
        <v>0.5</v>
      </c>
    </row>
    <row r="53" spans="1:8" x14ac:dyDescent="0.25">
      <c r="A53">
        <v>6</v>
      </c>
      <c r="B53" s="119">
        <v>1005</v>
      </c>
      <c r="C53" s="119">
        <v>5</v>
      </c>
      <c r="D53" s="119">
        <v>0.7</v>
      </c>
      <c r="E53" s="119">
        <v>1.2</v>
      </c>
      <c r="F53" s="119">
        <v>1.1000000000000001</v>
      </c>
      <c r="G53" s="119">
        <v>11</v>
      </c>
      <c r="H53" s="119">
        <v>0.6</v>
      </c>
    </row>
    <row r="54" spans="1:8" x14ac:dyDescent="0.25">
      <c r="A54">
        <v>7</v>
      </c>
      <c r="B54" s="119">
        <v>1006</v>
      </c>
      <c r="C54" s="119">
        <v>6</v>
      </c>
      <c r="D54" s="119">
        <v>0.9</v>
      </c>
      <c r="E54" s="119">
        <v>1.5</v>
      </c>
      <c r="F54" s="119">
        <v>1.3</v>
      </c>
      <c r="G54" s="119">
        <v>14</v>
      </c>
      <c r="H54" s="119">
        <v>0.8</v>
      </c>
    </row>
    <row r="55" spans="1:8" x14ac:dyDescent="0.25">
      <c r="A55">
        <v>8</v>
      </c>
      <c r="B55" s="119">
        <v>1007</v>
      </c>
      <c r="C55" s="119">
        <v>7</v>
      </c>
      <c r="D55" s="119">
        <v>1</v>
      </c>
      <c r="E55" s="119">
        <v>1.8</v>
      </c>
      <c r="F55" s="119">
        <v>1.5</v>
      </c>
      <c r="G55" s="119">
        <v>16</v>
      </c>
      <c r="H55" s="119">
        <v>0.9</v>
      </c>
    </row>
    <row r="56" spans="1:8" x14ac:dyDescent="0.25">
      <c r="A56">
        <v>9</v>
      </c>
      <c r="B56" s="119">
        <v>1008</v>
      </c>
      <c r="C56" s="119">
        <v>8</v>
      </c>
      <c r="D56" s="119">
        <v>1.2</v>
      </c>
      <c r="E56" s="119">
        <v>2.1</v>
      </c>
      <c r="F56" s="119">
        <v>1.8</v>
      </c>
      <c r="G56" s="119">
        <v>19</v>
      </c>
      <c r="H56" s="119">
        <v>1</v>
      </c>
    </row>
    <row r="57" spans="1:8" x14ac:dyDescent="0.25">
      <c r="A57">
        <v>10</v>
      </c>
      <c r="B57" s="119">
        <v>1009</v>
      </c>
      <c r="C57" s="119">
        <v>9</v>
      </c>
      <c r="D57" s="119">
        <v>1.3</v>
      </c>
      <c r="E57" s="119">
        <v>2.2999999999999998</v>
      </c>
      <c r="F57" s="119">
        <v>2</v>
      </c>
      <c r="G57" s="119">
        <v>21</v>
      </c>
      <c r="H57" s="119">
        <v>1.2</v>
      </c>
    </row>
    <row r="58" spans="1:8" x14ac:dyDescent="0.25">
      <c r="A58">
        <v>11</v>
      </c>
      <c r="B58" s="119">
        <v>1010</v>
      </c>
      <c r="C58" s="119">
        <v>10</v>
      </c>
      <c r="D58" s="119">
        <v>1.4</v>
      </c>
      <c r="E58" s="119">
        <v>2.6</v>
      </c>
      <c r="F58" s="119">
        <v>2.2000000000000002</v>
      </c>
      <c r="G58" s="119">
        <v>23</v>
      </c>
      <c r="H58" s="119">
        <v>1.3</v>
      </c>
    </row>
    <row r="59" spans="1:8" x14ac:dyDescent="0.25">
      <c r="A59">
        <v>12</v>
      </c>
      <c r="B59" s="119">
        <v>1011</v>
      </c>
      <c r="C59" s="119">
        <v>11</v>
      </c>
      <c r="D59" s="119">
        <v>1.6</v>
      </c>
      <c r="E59" s="119">
        <v>2.8</v>
      </c>
      <c r="F59" s="119">
        <v>2.4</v>
      </c>
      <c r="G59" s="119">
        <v>26</v>
      </c>
      <c r="H59" s="119">
        <v>1.4</v>
      </c>
    </row>
    <row r="60" spans="1:8" x14ac:dyDescent="0.25">
      <c r="A60">
        <v>13</v>
      </c>
      <c r="B60" s="119">
        <v>1012</v>
      </c>
      <c r="C60" s="119">
        <v>12</v>
      </c>
      <c r="D60" s="119">
        <v>1.7</v>
      </c>
      <c r="E60" s="119">
        <v>3.1</v>
      </c>
      <c r="F60" s="119">
        <v>2.6</v>
      </c>
      <c r="G60" s="119">
        <v>28</v>
      </c>
      <c r="H60" s="119">
        <v>1.6</v>
      </c>
    </row>
    <row r="61" spans="1:8" x14ac:dyDescent="0.25">
      <c r="A61">
        <v>14</v>
      </c>
      <c r="B61" s="119">
        <v>1013</v>
      </c>
      <c r="C61" s="119">
        <v>13</v>
      </c>
      <c r="D61" s="119">
        <v>1.9</v>
      </c>
      <c r="E61" s="119">
        <v>3.3</v>
      </c>
      <c r="F61" s="119">
        <v>2.8</v>
      </c>
      <c r="G61" s="119">
        <v>30</v>
      </c>
      <c r="H61" s="119">
        <v>1.7</v>
      </c>
    </row>
    <row r="62" spans="1:8" x14ac:dyDescent="0.25">
      <c r="A62">
        <v>15</v>
      </c>
      <c r="B62" s="119">
        <v>1014</v>
      </c>
      <c r="C62" s="119">
        <v>14</v>
      </c>
      <c r="D62" s="119">
        <v>2</v>
      </c>
      <c r="E62" s="119">
        <v>3.6</v>
      </c>
      <c r="F62" s="119">
        <v>3.1</v>
      </c>
      <c r="G62" s="119">
        <v>33</v>
      </c>
      <c r="H62" s="119">
        <v>1.8</v>
      </c>
    </row>
    <row r="63" spans="1:8" x14ac:dyDescent="0.25">
      <c r="A63">
        <v>16</v>
      </c>
      <c r="B63" s="119">
        <v>1015</v>
      </c>
      <c r="C63" s="119">
        <v>15</v>
      </c>
      <c r="D63" s="119">
        <v>2.1</v>
      </c>
      <c r="E63" s="119">
        <v>3.8</v>
      </c>
      <c r="F63" s="119">
        <v>3.3</v>
      </c>
      <c r="G63" s="119">
        <v>35</v>
      </c>
      <c r="H63" s="119">
        <v>1.9</v>
      </c>
    </row>
    <row r="64" spans="1:8" x14ac:dyDescent="0.25">
      <c r="A64">
        <v>17</v>
      </c>
      <c r="B64" s="119">
        <v>1016</v>
      </c>
      <c r="C64" s="119">
        <v>16</v>
      </c>
      <c r="D64" s="119">
        <v>2.2999999999999998</v>
      </c>
      <c r="E64" s="119">
        <v>4.0999999999999996</v>
      </c>
      <c r="F64" s="119">
        <v>3.5</v>
      </c>
      <c r="G64" s="119">
        <v>37</v>
      </c>
      <c r="H64" s="119">
        <v>2.1</v>
      </c>
    </row>
    <row r="65" spans="1:8" x14ac:dyDescent="0.25">
      <c r="A65">
        <v>18</v>
      </c>
      <c r="B65" s="119">
        <v>1017</v>
      </c>
      <c r="C65" s="119">
        <v>17</v>
      </c>
      <c r="D65" s="119">
        <v>2.4</v>
      </c>
      <c r="E65" s="119">
        <v>4.3</v>
      </c>
      <c r="F65" s="119">
        <v>3.7</v>
      </c>
      <c r="G65" s="119">
        <v>40</v>
      </c>
      <c r="H65" s="119">
        <v>2.2000000000000002</v>
      </c>
    </row>
    <row r="66" spans="1:8" x14ac:dyDescent="0.25">
      <c r="A66">
        <v>19</v>
      </c>
      <c r="B66" s="119">
        <v>1018</v>
      </c>
      <c r="C66" s="119">
        <v>18</v>
      </c>
      <c r="D66" s="119">
        <v>2.6</v>
      </c>
      <c r="E66" s="119">
        <v>4.5999999999999996</v>
      </c>
      <c r="F66" s="119">
        <v>3.9</v>
      </c>
      <c r="G66" s="119">
        <v>42</v>
      </c>
      <c r="H66" s="119">
        <v>2.2999999999999998</v>
      </c>
    </row>
    <row r="67" spans="1:8" x14ac:dyDescent="0.25">
      <c r="A67">
        <v>20</v>
      </c>
      <c r="B67" s="119">
        <v>1019</v>
      </c>
      <c r="C67" s="119">
        <v>19</v>
      </c>
      <c r="D67" s="119">
        <v>2.7</v>
      </c>
      <c r="E67" s="119">
        <v>4.8</v>
      </c>
      <c r="F67" s="119">
        <v>4.0999999999999996</v>
      </c>
      <c r="G67" s="119">
        <v>45</v>
      </c>
      <c r="H67" s="119">
        <v>2.5</v>
      </c>
    </row>
    <row r="68" spans="1:8" x14ac:dyDescent="0.25">
      <c r="A68">
        <v>21</v>
      </c>
      <c r="B68" s="119">
        <v>1020</v>
      </c>
      <c r="C68" s="119">
        <v>20</v>
      </c>
      <c r="D68" s="119">
        <v>2.8</v>
      </c>
      <c r="E68" s="119">
        <v>5.0999999999999996</v>
      </c>
      <c r="F68" s="119">
        <v>4.4000000000000004</v>
      </c>
      <c r="G68" s="119">
        <v>47</v>
      </c>
      <c r="H68" s="119">
        <v>2.6</v>
      </c>
    </row>
    <row r="69" spans="1:8" x14ac:dyDescent="0.25">
      <c r="A69">
        <v>22</v>
      </c>
      <c r="B69" s="119">
        <v>1021</v>
      </c>
      <c r="C69" s="119">
        <v>21</v>
      </c>
      <c r="D69" s="119">
        <v>3</v>
      </c>
      <c r="E69" s="119">
        <v>5.3</v>
      </c>
      <c r="F69" s="119">
        <v>4.5999999999999996</v>
      </c>
      <c r="G69" s="119">
        <v>49</v>
      </c>
      <c r="H69" s="119">
        <v>2.7</v>
      </c>
    </row>
    <row r="70" spans="1:8" x14ac:dyDescent="0.25">
      <c r="A70">
        <v>23</v>
      </c>
      <c r="B70" s="119">
        <v>1022</v>
      </c>
      <c r="C70" s="119">
        <v>22</v>
      </c>
      <c r="D70" s="119">
        <v>3.1</v>
      </c>
      <c r="E70" s="119">
        <v>5.6</v>
      </c>
      <c r="F70" s="119">
        <v>4.8</v>
      </c>
      <c r="G70" s="119">
        <v>52</v>
      </c>
      <c r="H70" s="119">
        <v>2.9</v>
      </c>
    </row>
    <row r="71" spans="1:8" x14ac:dyDescent="0.25">
      <c r="A71">
        <v>24</v>
      </c>
      <c r="B71" s="119">
        <v>1023</v>
      </c>
      <c r="C71" s="119">
        <v>23</v>
      </c>
      <c r="D71" s="119">
        <v>3.3</v>
      </c>
      <c r="E71" s="119">
        <v>5.8</v>
      </c>
      <c r="F71" s="119">
        <v>5</v>
      </c>
      <c r="G71" s="119">
        <v>54</v>
      </c>
      <c r="H71" s="119">
        <v>3</v>
      </c>
    </row>
    <row r="72" spans="1:8" x14ac:dyDescent="0.25">
      <c r="A72">
        <v>25</v>
      </c>
      <c r="B72" s="119">
        <v>1024</v>
      </c>
      <c r="C72" s="119">
        <v>24</v>
      </c>
      <c r="D72" s="119">
        <v>3.4</v>
      </c>
      <c r="E72" s="119">
        <v>6.1</v>
      </c>
      <c r="F72" s="119">
        <v>5.2</v>
      </c>
      <c r="G72" s="119">
        <v>56</v>
      </c>
      <c r="H72" s="119">
        <v>3.1</v>
      </c>
    </row>
    <row r="73" spans="1:8" x14ac:dyDescent="0.25">
      <c r="A73">
        <v>26</v>
      </c>
      <c r="B73" s="119">
        <v>1025</v>
      </c>
      <c r="C73" s="119">
        <v>25</v>
      </c>
      <c r="D73" s="119">
        <v>3.5</v>
      </c>
      <c r="E73" s="119">
        <v>6.3</v>
      </c>
      <c r="F73" s="119">
        <v>5.4</v>
      </c>
      <c r="G73" s="119">
        <v>59</v>
      </c>
      <c r="H73" s="119">
        <v>3.3</v>
      </c>
    </row>
    <row r="74" spans="1:8" x14ac:dyDescent="0.25">
      <c r="A74">
        <v>27</v>
      </c>
      <c r="B74" s="119">
        <v>1026</v>
      </c>
      <c r="C74" s="119">
        <v>26</v>
      </c>
      <c r="D74" s="119">
        <v>3.7</v>
      </c>
      <c r="E74" s="119">
        <v>6.6</v>
      </c>
      <c r="F74" s="119">
        <v>5.6</v>
      </c>
      <c r="G74" s="119">
        <v>61</v>
      </c>
      <c r="H74" s="122">
        <v>3.4</v>
      </c>
    </row>
    <row r="75" spans="1:8" x14ac:dyDescent="0.25">
      <c r="A75">
        <v>28</v>
      </c>
      <c r="B75" s="119">
        <v>1027</v>
      </c>
      <c r="C75" s="119">
        <v>27</v>
      </c>
      <c r="D75" s="119">
        <v>3.8</v>
      </c>
      <c r="E75" s="119">
        <v>6.8</v>
      </c>
      <c r="F75" s="119">
        <v>5.8</v>
      </c>
      <c r="G75" s="119">
        <v>64</v>
      </c>
      <c r="H75" s="122">
        <v>3.5</v>
      </c>
    </row>
    <row r="76" spans="1:8" x14ac:dyDescent="0.25">
      <c r="A76">
        <v>29</v>
      </c>
      <c r="B76" s="119">
        <v>1028</v>
      </c>
      <c r="C76" s="119">
        <v>28</v>
      </c>
      <c r="D76" s="119">
        <v>3.9</v>
      </c>
      <c r="E76" s="119">
        <v>7.1</v>
      </c>
      <c r="F76" s="119">
        <v>6</v>
      </c>
      <c r="G76" s="119">
        <v>66</v>
      </c>
      <c r="H76" s="122">
        <v>3.7</v>
      </c>
    </row>
    <row r="77" spans="1:8" x14ac:dyDescent="0.25">
      <c r="A77">
        <v>30</v>
      </c>
      <c r="B77" s="119">
        <v>1029</v>
      </c>
      <c r="C77" s="119">
        <v>29</v>
      </c>
      <c r="D77" s="119">
        <v>4.0999999999999996</v>
      </c>
      <c r="E77" s="119">
        <v>7.3</v>
      </c>
      <c r="F77" s="119">
        <v>6.3</v>
      </c>
      <c r="G77" s="119">
        <v>68</v>
      </c>
      <c r="H77" s="122">
        <v>3.8</v>
      </c>
    </row>
    <row r="78" spans="1:8" x14ac:dyDescent="0.25">
      <c r="A78">
        <v>31</v>
      </c>
      <c r="B78" s="119">
        <v>1030</v>
      </c>
      <c r="C78" s="119">
        <v>30</v>
      </c>
      <c r="D78" s="119">
        <v>4.2</v>
      </c>
      <c r="E78" s="119">
        <v>7.6</v>
      </c>
      <c r="F78" s="119">
        <v>6.5</v>
      </c>
      <c r="G78" s="119">
        <v>71</v>
      </c>
      <c r="H78" s="122">
        <v>3.9</v>
      </c>
    </row>
    <row r="79" spans="1:8" x14ac:dyDescent="0.25">
      <c r="A79">
        <v>32</v>
      </c>
      <c r="B79" s="119">
        <v>1031</v>
      </c>
      <c r="C79" s="119">
        <v>31</v>
      </c>
      <c r="D79" s="119">
        <v>4.4000000000000004</v>
      </c>
      <c r="E79" s="119">
        <v>7.8</v>
      </c>
      <c r="F79" s="119">
        <v>6.7</v>
      </c>
      <c r="G79" s="119">
        <v>73</v>
      </c>
      <c r="H79" s="122">
        <v>4.0999999999999996</v>
      </c>
    </row>
    <row r="80" spans="1:8" x14ac:dyDescent="0.25">
      <c r="A80">
        <v>33</v>
      </c>
      <c r="B80" s="119">
        <v>1032</v>
      </c>
      <c r="C80" s="119">
        <v>32</v>
      </c>
      <c r="D80" s="119">
        <v>4.5</v>
      </c>
      <c r="E80" s="119">
        <v>8</v>
      </c>
      <c r="F80" s="119">
        <v>6.9</v>
      </c>
      <c r="G80" s="119">
        <v>75</v>
      </c>
      <c r="H80" s="122">
        <v>4.2</v>
      </c>
    </row>
    <row r="81" spans="1:8" x14ac:dyDescent="0.25">
      <c r="A81">
        <v>34</v>
      </c>
      <c r="B81" s="119">
        <v>1033</v>
      </c>
      <c r="C81" s="119">
        <v>33</v>
      </c>
      <c r="D81" s="119">
        <v>4.5999999999999996</v>
      </c>
      <c r="E81" s="119">
        <v>8.3000000000000007</v>
      </c>
      <c r="F81" s="119">
        <v>7.1</v>
      </c>
      <c r="G81" s="119">
        <v>78</v>
      </c>
      <c r="H81" s="122">
        <v>4.3</v>
      </c>
    </row>
    <row r="82" spans="1:8" x14ac:dyDescent="0.25">
      <c r="A82">
        <v>35</v>
      </c>
      <c r="B82" s="119">
        <v>1034</v>
      </c>
      <c r="C82" s="119">
        <v>34</v>
      </c>
      <c r="D82" s="119">
        <v>4.8</v>
      </c>
      <c r="E82" s="119">
        <v>8.5</v>
      </c>
      <c r="F82" s="119">
        <v>7.3</v>
      </c>
      <c r="G82" s="119">
        <v>80</v>
      </c>
      <c r="H82" s="122">
        <v>4.5</v>
      </c>
    </row>
    <row r="83" spans="1:8" x14ac:dyDescent="0.25">
      <c r="A83">
        <v>36</v>
      </c>
      <c r="B83" s="119">
        <v>1035</v>
      </c>
      <c r="C83" s="119">
        <v>35</v>
      </c>
      <c r="D83" s="119">
        <v>4.9000000000000004</v>
      </c>
      <c r="E83" s="119">
        <v>8.8000000000000007</v>
      </c>
      <c r="F83" s="119">
        <v>7.5</v>
      </c>
      <c r="G83" s="119">
        <v>83</v>
      </c>
      <c r="H83" s="122">
        <v>4.5999999999999996</v>
      </c>
    </row>
    <row r="84" spans="1:8" x14ac:dyDescent="0.25">
      <c r="A84">
        <v>37</v>
      </c>
      <c r="B84" s="119">
        <v>1036</v>
      </c>
      <c r="C84" s="119">
        <v>36</v>
      </c>
      <c r="D84" s="119">
        <v>5</v>
      </c>
      <c r="E84" s="119">
        <v>9</v>
      </c>
      <c r="F84" s="119">
        <v>7.7</v>
      </c>
      <c r="G84" s="119">
        <v>85</v>
      </c>
      <c r="H84" s="122">
        <v>4.7</v>
      </c>
    </row>
    <row r="85" spans="1:8" x14ac:dyDescent="0.25">
      <c r="A85">
        <v>38</v>
      </c>
      <c r="B85" s="119">
        <v>1037</v>
      </c>
      <c r="C85" s="119">
        <v>37</v>
      </c>
      <c r="D85" s="119">
        <v>5.2</v>
      </c>
      <c r="E85" s="119">
        <v>9.3000000000000007</v>
      </c>
      <c r="F85" s="119">
        <v>7.9</v>
      </c>
      <c r="G85" s="119">
        <v>88</v>
      </c>
      <c r="H85" s="122">
        <v>4.9000000000000004</v>
      </c>
    </row>
    <row r="86" spans="1:8" x14ac:dyDescent="0.25">
      <c r="A86">
        <v>39</v>
      </c>
      <c r="B86" s="119">
        <v>1038</v>
      </c>
      <c r="C86" s="119">
        <v>38</v>
      </c>
      <c r="D86" s="119">
        <v>5.3</v>
      </c>
      <c r="E86" s="119">
        <v>9.5</v>
      </c>
      <c r="F86" s="119">
        <v>8.1</v>
      </c>
      <c r="G86" s="119">
        <v>90</v>
      </c>
      <c r="H86" s="122">
        <v>5</v>
      </c>
    </row>
    <row r="87" spans="1:8" x14ac:dyDescent="0.25">
      <c r="A87">
        <v>40</v>
      </c>
      <c r="B87" s="119">
        <v>1039</v>
      </c>
      <c r="C87" s="119">
        <v>39</v>
      </c>
      <c r="D87" s="118">
        <v>5.4</v>
      </c>
      <c r="E87" s="118">
        <v>9.6999999999999993</v>
      </c>
      <c r="F87" s="118">
        <v>8.3000000000000007</v>
      </c>
      <c r="G87" s="118">
        <v>92</v>
      </c>
      <c r="H87" s="118">
        <v>5.0999999999999996</v>
      </c>
    </row>
    <row r="88" spans="1:8" x14ac:dyDescent="0.25">
      <c r="A88">
        <v>41</v>
      </c>
      <c r="B88" s="119">
        <v>1040</v>
      </c>
      <c r="C88" s="119">
        <v>40</v>
      </c>
      <c r="D88" s="118">
        <v>5.6</v>
      </c>
      <c r="E88" s="118">
        <v>10</v>
      </c>
      <c r="F88" s="118">
        <v>8.5</v>
      </c>
      <c r="G88" s="118">
        <v>95</v>
      </c>
      <c r="H88" s="118">
        <v>5.3</v>
      </c>
    </row>
    <row r="89" spans="1:8" x14ac:dyDescent="0.25">
      <c r="A89">
        <v>42</v>
      </c>
      <c r="B89" s="119">
        <v>1041</v>
      </c>
      <c r="C89" s="119">
        <v>41</v>
      </c>
      <c r="D89" s="119">
        <v>5.7</v>
      </c>
      <c r="E89" s="119">
        <v>10.199999999999999</v>
      </c>
      <c r="F89" s="119">
        <v>8.6999999999999993</v>
      </c>
      <c r="G89" s="119">
        <v>97</v>
      </c>
      <c r="H89" s="122">
        <v>5.4</v>
      </c>
    </row>
    <row r="90" spans="1:8" x14ac:dyDescent="0.25">
      <c r="A90">
        <v>43</v>
      </c>
      <c r="B90" s="119">
        <v>1042</v>
      </c>
      <c r="C90" s="119">
        <v>42</v>
      </c>
      <c r="D90" s="119">
        <v>5.8</v>
      </c>
      <c r="E90" s="119">
        <v>10.5</v>
      </c>
      <c r="F90" s="119">
        <v>8.9</v>
      </c>
      <c r="G90" s="119">
        <v>100</v>
      </c>
      <c r="H90" s="122">
        <v>5.5</v>
      </c>
    </row>
    <row r="91" spans="1:8" x14ac:dyDescent="0.25">
      <c r="A91">
        <v>44</v>
      </c>
      <c r="B91" s="119">
        <v>1043</v>
      </c>
      <c r="C91" s="119">
        <v>43</v>
      </c>
      <c r="D91" s="119">
        <v>6</v>
      </c>
      <c r="E91" s="119">
        <v>10.7</v>
      </c>
      <c r="F91" s="119">
        <v>9.1</v>
      </c>
      <c r="G91" s="119">
        <v>102</v>
      </c>
      <c r="H91" s="122">
        <v>5.7</v>
      </c>
    </row>
    <row r="92" spans="1:8" x14ac:dyDescent="0.25">
      <c r="A92">
        <v>45</v>
      </c>
      <c r="B92" s="119">
        <v>1044</v>
      </c>
      <c r="C92" s="119">
        <v>44</v>
      </c>
      <c r="D92" s="119">
        <v>6.1</v>
      </c>
      <c r="E92" s="119">
        <v>11</v>
      </c>
      <c r="F92" s="119">
        <v>9.4</v>
      </c>
      <c r="G92" s="119">
        <v>104</v>
      </c>
      <c r="H92" s="122">
        <v>5.8</v>
      </c>
    </row>
    <row r="93" spans="1:8" x14ac:dyDescent="0.25">
      <c r="A93">
        <v>46</v>
      </c>
      <c r="B93" s="119">
        <v>1045</v>
      </c>
      <c r="C93" s="119">
        <v>45</v>
      </c>
      <c r="D93" s="119">
        <v>6.2</v>
      </c>
      <c r="E93" s="119">
        <v>11.2</v>
      </c>
      <c r="F93" s="119">
        <v>9.6</v>
      </c>
      <c r="G93" s="119">
        <v>107</v>
      </c>
      <c r="H93" s="122">
        <v>5.9</v>
      </c>
    </row>
    <row r="94" spans="1:8" x14ac:dyDescent="0.25">
      <c r="A94">
        <v>47</v>
      </c>
      <c r="B94" s="119">
        <v>1046</v>
      </c>
      <c r="C94" s="119">
        <v>46</v>
      </c>
      <c r="D94" s="119">
        <v>6.4</v>
      </c>
      <c r="E94" s="119">
        <v>11.4</v>
      </c>
      <c r="F94" s="119">
        <v>9.8000000000000007</v>
      </c>
      <c r="G94" s="119">
        <v>109</v>
      </c>
      <c r="H94" s="122">
        <v>6.1</v>
      </c>
    </row>
    <row r="95" spans="1:8" x14ac:dyDescent="0.25">
      <c r="A95">
        <v>48</v>
      </c>
      <c r="B95" s="119">
        <v>1047</v>
      </c>
      <c r="C95" s="119">
        <v>47</v>
      </c>
      <c r="D95" s="119">
        <v>6.5</v>
      </c>
      <c r="E95" s="119">
        <v>11.7</v>
      </c>
      <c r="F95" s="119">
        <v>10</v>
      </c>
      <c r="G95" s="119">
        <v>112</v>
      </c>
      <c r="H95" s="122">
        <v>6.2</v>
      </c>
    </row>
    <row r="96" spans="1:8" x14ac:dyDescent="0.25">
      <c r="A96">
        <v>49</v>
      </c>
      <c r="B96" s="119">
        <v>1048</v>
      </c>
      <c r="C96" s="119">
        <v>48</v>
      </c>
      <c r="D96" s="119">
        <v>6.6</v>
      </c>
      <c r="E96" s="119">
        <v>11.9</v>
      </c>
      <c r="F96" s="119">
        <v>10.199999999999999</v>
      </c>
      <c r="G96" s="119">
        <v>114</v>
      </c>
      <c r="H96" s="122">
        <v>6.3</v>
      </c>
    </row>
    <row r="97" spans="1:8" x14ac:dyDescent="0.25">
      <c r="A97">
        <v>50</v>
      </c>
      <c r="B97" s="119">
        <v>1049</v>
      </c>
      <c r="C97" s="119">
        <v>49</v>
      </c>
      <c r="D97" s="119">
        <v>6.8</v>
      </c>
      <c r="E97" s="119">
        <v>12.1</v>
      </c>
      <c r="F97" s="119">
        <v>10.4</v>
      </c>
      <c r="G97" s="119">
        <v>117</v>
      </c>
      <c r="H97" s="122">
        <v>6.5</v>
      </c>
    </row>
    <row r="98" spans="1:8" x14ac:dyDescent="0.25">
      <c r="A98">
        <v>51</v>
      </c>
      <c r="B98" s="119">
        <v>1050</v>
      </c>
      <c r="C98" s="119">
        <v>50</v>
      </c>
      <c r="D98" s="119">
        <v>6.9</v>
      </c>
      <c r="E98" s="119">
        <v>12.4</v>
      </c>
      <c r="F98" s="119">
        <v>10.6</v>
      </c>
      <c r="G98" s="119">
        <v>119</v>
      </c>
      <c r="H98" s="122">
        <v>6.6</v>
      </c>
    </row>
    <row r="99" spans="1:8" x14ac:dyDescent="0.25">
      <c r="A99">
        <v>52</v>
      </c>
      <c r="B99" s="119">
        <v>1051</v>
      </c>
      <c r="C99" s="119">
        <v>51</v>
      </c>
      <c r="D99" s="119">
        <v>7</v>
      </c>
      <c r="E99" s="119">
        <v>12.6</v>
      </c>
      <c r="F99" s="119">
        <v>10.8</v>
      </c>
      <c r="G99" s="119">
        <v>121</v>
      </c>
      <c r="H99" s="122">
        <v>6.7</v>
      </c>
    </row>
    <row r="100" spans="1:8" x14ac:dyDescent="0.25">
      <c r="A100">
        <v>53</v>
      </c>
      <c r="B100" s="119">
        <v>1052</v>
      </c>
      <c r="C100" s="119">
        <v>52</v>
      </c>
      <c r="D100" s="119">
        <v>7.2</v>
      </c>
      <c r="E100" s="119">
        <v>12.9</v>
      </c>
      <c r="F100" s="119">
        <v>11</v>
      </c>
      <c r="G100" s="119">
        <v>124</v>
      </c>
      <c r="H100" s="122">
        <v>6.9</v>
      </c>
    </row>
    <row r="101" spans="1:8" x14ac:dyDescent="0.25">
      <c r="A101">
        <v>54</v>
      </c>
      <c r="B101" s="119">
        <v>1053</v>
      </c>
      <c r="C101" s="119">
        <v>53</v>
      </c>
      <c r="D101" s="119">
        <v>7.3</v>
      </c>
      <c r="E101" s="119">
        <v>13.1</v>
      </c>
      <c r="F101" s="119">
        <v>11.2</v>
      </c>
      <c r="G101" s="119">
        <v>126</v>
      </c>
      <c r="H101" s="122">
        <v>7</v>
      </c>
    </row>
    <row r="102" spans="1:8" x14ac:dyDescent="0.25">
      <c r="A102">
        <v>55</v>
      </c>
      <c r="B102" s="119">
        <v>1054</v>
      </c>
      <c r="C102" s="119">
        <v>54</v>
      </c>
      <c r="D102" s="119">
        <v>7.4</v>
      </c>
      <c r="E102" s="119">
        <v>13.3</v>
      </c>
      <c r="F102" s="119">
        <v>11.4</v>
      </c>
      <c r="G102" s="119">
        <v>129</v>
      </c>
      <c r="H102" s="122">
        <v>7.2</v>
      </c>
    </row>
    <row r="103" spans="1:8" x14ac:dyDescent="0.25">
      <c r="A103">
        <v>56</v>
      </c>
      <c r="B103" s="119">
        <v>1055</v>
      </c>
      <c r="C103" s="119">
        <v>55</v>
      </c>
      <c r="D103" s="119">
        <v>7.6</v>
      </c>
      <c r="E103" s="119">
        <v>13.6</v>
      </c>
      <c r="F103" s="119">
        <v>11.6</v>
      </c>
      <c r="G103" s="119">
        <v>131</v>
      </c>
      <c r="H103" s="122">
        <v>7.3</v>
      </c>
    </row>
    <row r="104" spans="1:8" x14ac:dyDescent="0.25">
      <c r="A104">
        <v>57</v>
      </c>
      <c r="B104" s="119">
        <v>1056</v>
      </c>
      <c r="C104" s="119">
        <v>56</v>
      </c>
      <c r="D104" s="119">
        <v>7.7</v>
      </c>
      <c r="E104" s="119">
        <v>13.8</v>
      </c>
      <c r="F104" s="119">
        <v>11.8</v>
      </c>
      <c r="G104" s="119">
        <v>134</v>
      </c>
      <c r="H104" s="122">
        <v>7.4</v>
      </c>
    </row>
    <row r="105" spans="1:8" x14ac:dyDescent="0.25">
      <c r="A105">
        <v>58</v>
      </c>
      <c r="B105" s="119">
        <v>1057</v>
      </c>
      <c r="C105" s="119">
        <v>57</v>
      </c>
      <c r="D105" s="119">
        <v>7.8</v>
      </c>
      <c r="E105" s="119">
        <v>14</v>
      </c>
      <c r="F105" s="119">
        <v>12</v>
      </c>
      <c r="G105" s="119">
        <v>136</v>
      </c>
      <c r="H105" s="122">
        <v>7.6</v>
      </c>
    </row>
    <row r="106" spans="1:8" x14ac:dyDescent="0.25">
      <c r="A106">
        <v>59</v>
      </c>
      <c r="B106" s="119">
        <v>1058</v>
      </c>
      <c r="C106" s="119">
        <v>58</v>
      </c>
      <c r="D106" s="119">
        <v>7.9</v>
      </c>
      <c r="E106" s="119">
        <v>14.3</v>
      </c>
      <c r="F106" s="119">
        <v>12.2</v>
      </c>
      <c r="G106" s="119">
        <v>139</v>
      </c>
      <c r="H106" s="122">
        <v>7.7</v>
      </c>
    </row>
    <row r="107" spans="1:8" x14ac:dyDescent="0.25">
      <c r="A107">
        <v>60</v>
      </c>
      <c r="B107" s="119">
        <v>1059</v>
      </c>
      <c r="C107" s="119">
        <v>59</v>
      </c>
      <c r="D107" s="119">
        <v>8.1</v>
      </c>
      <c r="E107" s="119">
        <v>14.5</v>
      </c>
      <c r="F107" s="119">
        <v>12.4</v>
      </c>
      <c r="G107" s="119">
        <v>141</v>
      </c>
      <c r="H107" s="122">
        <v>7.8</v>
      </c>
    </row>
    <row r="108" spans="1:8" x14ac:dyDescent="0.25">
      <c r="A108">
        <v>61</v>
      </c>
      <c r="B108" s="119">
        <v>1060</v>
      </c>
      <c r="C108" s="119">
        <v>60</v>
      </c>
      <c r="D108" s="119">
        <v>8.1999999999999993</v>
      </c>
      <c r="E108" s="119">
        <v>14.7</v>
      </c>
      <c r="F108" s="119">
        <v>12.6</v>
      </c>
      <c r="G108" s="119">
        <v>144</v>
      </c>
      <c r="H108" s="122">
        <v>8</v>
      </c>
    </row>
    <row r="109" spans="1:8" x14ac:dyDescent="0.25">
      <c r="A109">
        <v>62</v>
      </c>
      <c r="B109" s="119">
        <v>1061</v>
      </c>
      <c r="C109" s="119">
        <v>61</v>
      </c>
      <c r="D109" s="119">
        <v>8.3000000000000007</v>
      </c>
      <c r="E109" s="119">
        <v>15</v>
      </c>
      <c r="F109" s="119">
        <v>12.8</v>
      </c>
      <c r="G109" s="119">
        <v>146</v>
      </c>
      <c r="H109" s="122">
        <v>8.1</v>
      </c>
    </row>
    <row r="110" spans="1:8" x14ac:dyDescent="0.25">
      <c r="A110">
        <v>63</v>
      </c>
      <c r="B110" s="119">
        <v>1062</v>
      </c>
      <c r="C110" s="119">
        <v>62</v>
      </c>
      <c r="D110" s="119">
        <v>8.5</v>
      </c>
      <c r="E110" s="119">
        <v>15.2</v>
      </c>
      <c r="F110" s="119">
        <v>13</v>
      </c>
      <c r="G110" s="119">
        <v>148</v>
      </c>
      <c r="H110" s="122">
        <v>8.1999999999999993</v>
      </c>
    </row>
    <row r="111" spans="1:8" x14ac:dyDescent="0.25">
      <c r="A111">
        <v>64</v>
      </c>
      <c r="B111" s="119">
        <v>1063</v>
      </c>
      <c r="C111" s="119">
        <v>63</v>
      </c>
      <c r="D111" s="119">
        <v>8.6</v>
      </c>
      <c r="E111" s="119">
        <v>15.4</v>
      </c>
      <c r="F111" s="119">
        <v>13.1</v>
      </c>
      <c r="G111" s="119">
        <v>151</v>
      </c>
      <c r="H111" s="122">
        <v>8.3000000000000007</v>
      </c>
    </row>
    <row r="112" spans="1:8" x14ac:dyDescent="0.25">
      <c r="A112">
        <v>65</v>
      </c>
      <c r="B112" s="119">
        <v>1064</v>
      </c>
      <c r="C112" s="119">
        <v>64</v>
      </c>
      <c r="D112" s="119">
        <v>8.6999999999999993</v>
      </c>
      <c r="E112" s="119">
        <v>15.7</v>
      </c>
      <c r="F112" s="119">
        <v>13.3</v>
      </c>
      <c r="G112" s="119">
        <v>153</v>
      </c>
      <c r="H112" s="122">
        <v>8.5</v>
      </c>
    </row>
    <row r="113" spans="1:8" x14ac:dyDescent="0.25">
      <c r="A113">
        <v>66</v>
      </c>
      <c r="B113" s="119">
        <v>1065</v>
      </c>
      <c r="C113" s="119">
        <v>65</v>
      </c>
      <c r="D113" s="119">
        <v>8.8000000000000007</v>
      </c>
      <c r="E113" s="119">
        <v>15.9</v>
      </c>
      <c r="F113" s="119">
        <v>13.5</v>
      </c>
      <c r="G113" s="119">
        <v>156</v>
      </c>
      <c r="H113" s="122">
        <v>8.6999999999999993</v>
      </c>
    </row>
    <row r="114" spans="1:8" x14ac:dyDescent="0.25">
      <c r="A114">
        <v>67</v>
      </c>
      <c r="B114" s="119">
        <v>1066</v>
      </c>
      <c r="C114" s="119">
        <v>66</v>
      </c>
      <c r="D114" s="119">
        <v>9</v>
      </c>
      <c r="E114" s="119">
        <v>16.100000000000001</v>
      </c>
      <c r="F114" s="119">
        <v>13.7</v>
      </c>
      <c r="G114" s="119">
        <v>158</v>
      </c>
      <c r="H114" s="122">
        <v>8.8000000000000007</v>
      </c>
    </row>
    <row r="115" spans="1:8" x14ac:dyDescent="0.25">
      <c r="A115">
        <v>68</v>
      </c>
      <c r="B115" s="119">
        <v>1067</v>
      </c>
      <c r="C115" s="119">
        <v>67</v>
      </c>
      <c r="D115" s="119">
        <v>9.1</v>
      </c>
      <c r="E115" s="119">
        <v>16.399999999999999</v>
      </c>
      <c r="F115" s="119">
        <v>13.9</v>
      </c>
      <c r="G115" s="119">
        <v>161</v>
      </c>
      <c r="H115" s="122">
        <v>8.9</v>
      </c>
    </row>
    <row r="116" spans="1:8" x14ac:dyDescent="0.25">
      <c r="A116">
        <v>69</v>
      </c>
      <c r="B116" s="119">
        <v>1068</v>
      </c>
      <c r="C116" s="119">
        <v>68</v>
      </c>
      <c r="D116" s="119">
        <v>9.1999999999999993</v>
      </c>
      <c r="E116" s="119">
        <v>16.600000000000001</v>
      </c>
      <c r="F116" s="119">
        <v>141</v>
      </c>
      <c r="G116" s="119">
        <v>163</v>
      </c>
      <c r="H116" s="122">
        <v>9.1</v>
      </c>
    </row>
    <row r="117" spans="1:8" x14ac:dyDescent="0.25">
      <c r="A117">
        <v>70</v>
      </c>
      <c r="B117" s="119">
        <v>1069</v>
      </c>
      <c r="C117" s="119">
        <v>69</v>
      </c>
      <c r="D117" s="119">
        <v>9.4</v>
      </c>
      <c r="E117" s="119">
        <v>16.8</v>
      </c>
      <c r="F117" s="119">
        <v>14.3</v>
      </c>
      <c r="G117" s="119">
        <v>166</v>
      </c>
      <c r="H117" s="122">
        <v>9.1999999999999993</v>
      </c>
    </row>
    <row r="118" spans="1:8" x14ac:dyDescent="0.25">
      <c r="A118">
        <v>71</v>
      </c>
      <c r="B118" s="119">
        <v>1070</v>
      </c>
      <c r="C118" s="119">
        <v>70</v>
      </c>
      <c r="D118" s="119">
        <v>9.5</v>
      </c>
      <c r="E118" s="119">
        <v>17.100000000000001</v>
      </c>
      <c r="F118" s="119">
        <v>14.5</v>
      </c>
      <c r="G118" s="119">
        <v>168</v>
      </c>
      <c r="H118" s="122">
        <v>9.3000000000000007</v>
      </c>
    </row>
    <row r="119" spans="1:8" x14ac:dyDescent="0.25">
      <c r="A119">
        <v>72</v>
      </c>
      <c r="B119" s="119">
        <v>1071</v>
      </c>
      <c r="C119" s="119">
        <v>71</v>
      </c>
      <c r="D119" s="119">
        <v>9.6</v>
      </c>
      <c r="E119" s="119">
        <v>17.3</v>
      </c>
      <c r="F119" s="119">
        <v>14.7</v>
      </c>
      <c r="G119" s="119">
        <v>171</v>
      </c>
      <c r="H119" s="122">
        <v>9.5</v>
      </c>
    </row>
    <row r="120" spans="1:8" x14ac:dyDescent="0.25">
      <c r="A120">
        <v>73</v>
      </c>
      <c r="B120" s="119">
        <v>1072</v>
      </c>
      <c r="C120" s="119">
        <v>72</v>
      </c>
      <c r="D120" s="119">
        <v>9.6999999999999993</v>
      </c>
      <c r="E120" s="119">
        <v>17.5</v>
      </c>
      <c r="F120" s="119">
        <v>14.9</v>
      </c>
      <c r="G120" s="119">
        <v>173</v>
      </c>
      <c r="H120" s="122">
        <v>9.6</v>
      </c>
    </row>
    <row r="121" spans="1:8" x14ac:dyDescent="0.25">
      <c r="A121">
        <v>74</v>
      </c>
      <c r="B121" s="119">
        <v>1073</v>
      </c>
      <c r="C121" s="119">
        <v>73</v>
      </c>
      <c r="D121" s="119">
        <v>9.9</v>
      </c>
      <c r="E121" s="119">
        <v>17.7</v>
      </c>
      <c r="F121" s="119">
        <v>15.1</v>
      </c>
      <c r="G121" s="119">
        <v>176</v>
      </c>
      <c r="H121" s="122">
        <v>9.8000000000000007</v>
      </c>
    </row>
    <row r="122" spans="1:8" x14ac:dyDescent="0.25">
      <c r="A122">
        <v>75</v>
      </c>
      <c r="B122" s="119">
        <v>1074</v>
      </c>
      <c r="C122" s="119">
        <v>74</v>
      </c>
      <c r="D122" s="119">
        <v>10</v>
      </c>
      <c r="E122" s="119">
        <v>18</v>
      </c>
      <c r="F122" s="119">
        <v>15.3</v>
      </c>
      <c r="G122" s="119">
        <v>178</v>
      </c>
      <c r="H122" s="122">
        <v>9.9</v>
      </c>
    </row>
    <row r="123" spans="1:8" x14ac:dyDescent="0.25">
      <c r="A123">
        <v>76</v>
      </c>
      <c r="B123" s="119">
        <v>1075</v>
      </c>
      <c r="C123" s="119">
        <v>75</v>
      </c>
      <c r="D123" s="119">
        <v>10.1</v>
      </c>
      <c r="E123" s="119">
        <v>18.2</v>
      </c>
      <c r="F123" s="119">
        <v>15.5</v>
      </c>
      <c r="G123" s="119">
        <v>182</v>
      </c>
      <c r="H123" s="122">
        <v>10</v>
      </c>
    </row>
    <row r="124" spans="1:8" x14ac:dyDescent="0.25">
      <c r="A124">
        <v>77</v>
      </c>
      <c r="B124" s="119">
        <v>1076</v>
      </c>
      <c r="C124" s="119">
        <v>76</v>
      </c>
      <c r="D124" s="119">
        <v>10.199999999999999</v>
      </c>
      <c r="E124" s="119">
        <v>18.399999999999999</v>
      </c>
      <c r="F124" s="119">
        <v>15.7</v>
      </c>
      <c r="G124" s="119">
        <v>183</v>
      </c>
      <c r="H124" s="122">
        <v>10.199999999999999</v>
      </c>
    </row>
    <row r="125" spans="1:8" x14ac:dyDescent="0.25">
      <c r="A125">
        <v>78</v>
      </c>
      <c r="B125" s="119">
        <v>1077</v>
      </c>
      <c r="C125" s="119">
        <v>77</v>
      </c>
      <c r="D125" s="119">
        <v>10.4</v>
      </c>
      <c r="E125" s="119">
        <v>18.7</v>
      </c>
      <c r="F125" s="119">
        <v>15.9</v>
      </c>
      <c r="G125" s="119">
        <v>186</v>
      </c>
      <c r="H125" s="122">
        <v>10.3</v>
      </c>
    </row>
    <row r="126" spans="1:8" x14ac:dyDescent="0.25">
      <c r="A126">
        <v>79</v>
      </c>
      <c r="B126" s="119">
        <v>1078</v>
      </c>
      <c r="C126" s="119">
        <v>78</v>
      </c>
      <c r="D126" s="119">
        <v>10.5</v>
      </c>
      <c r="E126" s="119">
        <v>18.899999999999999</v>
      </c>
      <c r="F126" s="119">
        <v>16.100000000000001</v>
      </c>
      <c r="G126" s="119">
        <v>188</v>
      </c>
      <c r="H126" s="122">
        <v>10.5</v>
      </c>
    </row>
    <row r="127" spans="1:8" x14ac:dyDescent="0.25">
      <c r="A127">
        <v>80</v>
      </c>
      <c r="B127" s="119">
        <v>1079</v>
      </c>
      <c r="C127" s="119">
        <v>79</v>
      </c>
      <c r="D127" s="119">
        <v>10.6</v>
      </c>
      <c r="E127" s="119">
        <v>19.100000000000001</v>
      </c>
      <c r="F127" s="119">
        <v>16.2</v>
      </c>
      <c r="G127" s="119">
        <v>191</v>
      </c>
      <c r="H127" s="122">
        <v>10.6</v>
      </c>
    </row>
    <row r="128" spans="1:8" x14ac:dyDescent="0.25">
      <c r="A128">
        <v>81</v>
      </c>
      <c r="B128" s="119">
        <v>1080</v>
      </c>
      <c r="C128" s="119">
        <v>80</v>
      </c>
      <c r="D128" s="119">
        <v>10.7</v>
      </c>
      <c r="E128" s="119">
        <v>19.3</v>
      </c>
      <c r="F128" s="119">
        <v>16.399999999999999</v>
      </c>
      <c r="G128" s="119">
        <v>193</v>
      </c>
      <c r="H128" s="122">
        <v>10.7</v>
      </c>
    </row>
    <row r="129" spans="1:8" x14ac:dyDescent="0.25">
      <c r="A129">
        <v>82</v>
      </c>
      <c r="B129" s="119">
        <v>1081</v>
      </c>
      <c r="C129" s="119">
        <v>81</v>
      </c>
      <c r="D129" s="119">
        <v>10.9</v>
      </c>
      <c r="E129" s="119">
        <v>19.600000000000001</v>
      </c>
      <c r="F129" s="119">
        <v>16.600000000000001</v>
      </c>
      <c r="G129" s="119">
        <v>196</v>
      </c>
      <c r="H129" s="122">
        <v>10.9</v>
      </c>
    </row>
    <row r="130" spans="1:8" x14ac:dyDescent="0.25">
      <c r="A130">
        <v>83</v>
      </c>
      <c r="B130" s="119">
        <v>1082</v>
      </c>
      <c r="C130" s="119">
        <v>82</v>
      </c>
      <c r="D130" s="119">
        <v>11</v>
      </c>
      <c r="E130" s="119">
        <v>19.8</v>
      </c>
      <c r="F130" s="119">
        <v>16.8</v>
      </c>
      <c r="G130" s="119">
        <v>198</v>
      </c>
      <c r="H130" s="122">
        <v>11</v>
      </c>
    </row>
    <row r="131" spans="1:8" x14ac:dyDescent="0.25">
      <c r="A131">
        <v>84</v>
      </c>
      <c r="B131" s="119">
        <v>1083</v>
      </c>
      <c r="C131" s="119">
        <v>83</v>
      </c>
      <c r="D131" s="119">
        <v>11.1</v>
      </c>
      <c r="E131" s="119">
        <v>20</v>
      </c>
      <c r="F131" s="119">
        <v>17</v>
      </c>
      <c r="G131" s="119">
        <v>201</v>
      </c>
      <c r="H131" s="122">
        <v>11.2</v>
      </c>
    </row>
    <row r="132" spans="1:8" x14ac:dyDescent="0.25">
      <c r="A132">
        <v>85</v>
      </c>
      <c r="B132" s="119">
        <v>1084</v>
      </c>
      <c r="C132" s="119">
        <v>84</v>
      </c>
      <c r="D132" s="119">
        <v>11.2</v>
      </c>
      <c r="E132" s="119">
        <v>20.2</v>
      </c>
      <c r="F132" s="119">
        <v>17.2</v>
      </c>
      <c r="G132" s="119">
        <v>203</v>
      </c>
      <c r="H132" s="122">
        <v>11.3</v>
      </c>
    </row>
    <row r="133" spans="1:8" x14ac:dyDescent="0.25">
      <c r="A133">
        <v>86</v>
      </c>
      <c r="B133" s="119">
        <v>1085</v>
      </c>
      <c r="C133" s="119">
        <v>85</v>
      </c>
      <c r="D133" s="119">
        <v>11.4</v>
      </c>
      <c r="E133" s="119">
        <v>20.5</v>
      </c>
      <c r="F133" s="119">
        <v>17.399999999999999</v>
      </c>
      <c r="G133" s="119">
        <v>206</v>
      </c>
      <c r="H133" s="122">
        <v>11.4</v>
      </c>
    </row>
    <row r="134" spans="1:8" x14ac:dyDescent="0.25">
      <c r="A134">
        <v>87</v>
      </c>
      <c r="B134" s="119">
        <v>1086</v>
      </c>
      <c r="C134" s="119">
        <v>86</v>
      </c>
      <c r="D134" s="119">
        <v>11.5</v>
      </c>
      <c r="E134" s="119">
        <v>20.7</v>
      </c>
      <c r="F134" s="119">
        <v>17.8</v>
      </c>
      <c r="G134" s="119">
        <v>208</v>
      </c>
      <c r="H134" s="122">
        <v>11.6</v>
      </c>
    </row>
    <row r="135" spans="1:8" x14ac:dyDescent="0.25">
      <c r="A135">
        <v>88</v>
      </c>
      <c r="B135" s="119">
        <v>1087</v>
      </c>
      <c r="C135" s="119">
        <v>87</v>
      </c>
      <c r="D135" s="119">
        <v>11.6</v>
      </c>
      <c r="E135" s="119">
        <v>20.9</v>
      </c>
      <c r="F135" s="119">
        <v>17.8</v>
      </c>
      <c r="G135" s="119">
        <v>211</v>
      </c>
      <c r="H135" s="122">
        <v>11.7</v>
      </c>
    </row>
    <row r="136" spans="1:8" x14ac:dyDescent="0.25">
      <c r="A136">
        <v>89</v>
      </c>
      <c r="B136" s="119">
        <v>1088</v>
      </c>
      <c r="C136" s="119">
        <v>88</v>
      </c>
      <c r="D136" s="119">
        <v>11.7</v>
      </c>
      <c r="E136" s="119">
        <v>21.1</v>
      </c>
      <c r="F136" s="119">
        <v>17.899999999999999</v>
      </c>
      <c r="G136" s="119">
        <v>213</v>
      </c>
      <c r="H136" s="122">
        <v>11.9</v>
      </c>
    </row>
    <row r="137" spans="1:8" x14ac:dyDescent="0.25">
      <c r="A137">
        <v>90</v>
      </c>
      <c r="B137" s="119">
        <v>1089</v>
      </c>
      <c r="C137" s="119">
        <v>89</v>
      </c>
      <c r="D137" s="119">
        <v>11.9</v>
      </c>
      <c r="E137" s="119">
        <v>21.3</v>
      </c>
      <c r="F137" s="119">
        <v>18.100000000000001</v>
      </c>
      <c r="G137" s="119">
        <v>216</v>
      </c>
      <c r="H137" s="122">
        <v>12</v>
      </c>
    </row>
    <row r="138" spans="1:8" x14ac:dyDescent="0.25">
      <c r="A138">
        <v>91</v>
      </c>
      <c r="B138" s="119">
        <v>1090</v>
      </c>
      <c r="C138" s="119">
        <v>90</v>
      </c>
      <c r="D138" s="119">
        <v>12</v>
      </c>
      <c r="E138" s="119">
        <v>21.6</v>
      </c>
      <c r="F138" s="119">
        <v>18.3</v>
      </c>
      <c r="G138" s="119">
        <v>219</v>
      </c>
      <c r="H138" s="122">
        <v>12.1</v>
      </c>
    </row>
    <row r="139" spans="1:8" x14ac:dyDescent="0.25">
      <c r="A139">
        <v>92</v>
      </c>
      <c r="B139" s="119">
        <v>1091</v>
      </c>
      <c r="C139" s="119">
        <v>91</v>
      </c>
      <c r="D139" s="119">
        <v>12.1</v>
      </c>
      <c r="E139" s="119">
        <v>21.8</v>
      </c>
      <c r="F139" s="119">
        <v>18.5</v>
      </c>
      <c r="G139" s="119">
        <v>221</v>
      </c>
      <c r="H139" s="122">
        <v>12.3</v>
      </c>
    </row>
    <row r="140" spans="1:8" x14ac:dyDescent="0.25">
      <c r="A140">
        <v>93</v>
      </c>
      <c r="B140" s="119">
        <v>1092</v>
      </c>
      <c r="C140" s="119">
        <v>92</v>
      </c>
      <c r="D140" s="119">
        <v>12.2</v>
      </c>
      <c r="E140" s="119">
        <v>22</v>
      </c>
      <c r="F140" s="119">
        <v>18.7</v>
      </c>
      <c r="G140" s="119">
        <v>224</v>
      </c>
      <c r="H140" s="122">
        <v>12.4</v>
      </c>
    </row>
    <row r="141" spans="1:8" x14ac:dyDescent="0.25">
      <c r="A141">
        <v>94</v>
      </c>
      <c r="B141" s="119">
        <v>1093</v>
      </c>
      <c r="C141" s="119">
        <v>93</v>
      </c>
      <c r="D141" s="119">
        <v>12.3</v>
      </c>
      <c r="E141" s="119">
        <v>22.2</v>
      </c>
      <c r="F141" s="119">
        <v>18.899999999999999</v>
      </c>
      <c r="G141" s="119">
        <v>226</v>
      </c>
      <c r="H141" s="122">
        <v>12.6</v>
      </c>
    </row>
    <row r="142" spans="1:8" x14ac:dyDescent="0.25">
      <c r="A142">
        <v>95</v>
      </c>
      <c r="B142" s="119">
        <v>1094</v>
      </c>
      <c r="C142" s="119">
        <v>94</v>
      </c>
      <c r="D142" s="119">
        <v>12.5</v>
      </c>
      <c r="E142" s="119">
        <v>22.5</v>
      </c>
      <c r="F142" s="119">
        <v>19.100000000000001</v>
      </c>
      <c r="G142" s="119">
        <v>229</v>
      </c>
      <c r="H142" s="122">
        <v>12.7</v>
      </c>
    </row>
    <row r="143" spans="1:8" x14ac:dyDescent="0.25">
      <c r="A143">
        <v>96</v>
      </c>
      <c r="B143" s="119">
        <v>1095</v>
      </c>
      <c r="C143" s="119">
        <v>95</v>
      </c>
      <c r="D143" s="119">
        <v>12.6</v>
      </c>
      <c r="E143" s="119">
        <v>22.7</v>
      </c>
      <c r="F143" s="119">
        <v>19.2</v>
      </c>
      <c r="G143" s="119">
        <v>231</v>
      </c>
      <c r="H143" s="122">
        <v>12.8</v>
      </c>
    </row>
    <row r="144" spans="1:8" x14ac:dyDescent="0.25">
      <c r="A144">
        <v>97</v>
      </c>
      <c r="B144" s="119">
        <v>1096</v>
      </c>
      <c r="C144" s="119">
        <v>96</v>
      </c>
      <c r="D144" s="119">
        <v>12.7</v>
      </c>
      <c r="E144" s="119">
        <v>22.9</v>
      </c>
      <c r="F144" s="119">
        <v>19.399999999999999</v>
      </c>
      <c r="G144" s="119">
        <v>234</v>
      </c>
      <c r="H144" s="122">
        <v>13</v>
      </c>
    </row>
    <row r="145" spans="1:8" x14ac:dyDescent="0.25">
      <c r="A145">
        <v>98</v>
      </c>
      <c r="B145" s="119">
        <v>1097</v>
      </c>
      <c r="C145" s="119">
        <v>97</v>
      </c>
      <c r="D145" s="119">
        <v>12.8</v>
      </c>
      <c r="E145" s="119">
        <v>23.1</v>
      </c>
      <c r="F145" s="119">
        <v>19.600000000000001</v>
      </c>
      <c r="G145" s="119">
        <v>236</v>
      </c>
      <c r="H145" s="122">
        <v>13.1</v>
      </c>
    </row>
    <row r="146" spans="1:8" x14ac:dyDescent="0.25">
      <c r="A146">
        <v>99</v>
      </c>
      <c r="B146" s="119">
        <v>1098</v>
      </c>
      <c r="C146" s="119">
        <v>98</v>
      </c>
      <c r="D146" s="119">
        <v>12.9</v>
      </c>
      <c r="E146" s="119">
        <v>23.3</v>
      </c>
      <c r="F146" s="119">
        <v>19.8</v>
      </c>
      <c r="G146" s="119">
        <v>239</v>
      </c>
      <c r="H146" s="122">
        <v>13.3</v>
      </c>
    </row>
    <row r="147" spans="1:8" x14ac:dyDescent="0.25">
      <c r="A147">
        <v>100</v>
      </c>
      <c r="B147" s="119">
        <v>1099</v>
      </c>
      <c r="C147" s="119">
        <v>99</v>
      </c>
      <c r="D147" s="119">
        <v>13.1</v>
      </c>
      <c r="E147" s="119">
        <v>23.6</v>
      </c>
      <c r="F147" s="119">
        <v>20</v>
      </c>
      <c r="G147" s="119">
        <v>242</v>
      </c>
      <c r="H147" s="122">
        <v>13.4</v>
      </c>
    </row>
    <row r="148" spans="1:8" x14ac:dyDescent="0.25">
      <c r="A148">
        <v>101</v>
      </c>
      <c r="B148" s="119">
        <v>1100</v>
      </c>
      <c r="C148" s="119">
        <v>100</v>
      </c>
      <c r="D148" s="119">
        <v>13.2</v>
      </c>
      <c r="E148" s="119">
        <v>23.8</v>
      </c>
      <c r="F148" s="119">
        <v>20.2</v>
      </c>
      <c r="G148" s="119">
        <v>244</v>
      </c>
      <c r="H148" s="122">
        <v>13.6</v>
      </c>
    </row>
    <row r="149" spans="1:8" x14ac:dyDescent="0.25">
      <c r="A149">
        <v>102</v>
      </c>
      <c r="B149" s="119">
        <v>1101</v>
      </c>
      <c r="C149" s="119">
        <v>101</v>
      </c>
      <c r="D149" s="119">
        <v>13.3</v>
      </c>
      <c r="E149" s="119">
        <v>24</v>
      </c>
      <c r="F149" s="119">
        <v>20.399999999999999</v>
      </c>
      <c r="G149" s="119">
        <v>247</v>
      </c>
      <c r="H149" s="122">
        <v>13.7</v>
      </c>
    </row>
    <row r="150" spans="1:8" x14ac:dyDescent="0.25">
      <c r="A150">
        <v>103</v>
      </c>
      <c r="B150" s="119">
        <v>1102</v>
      </c>
      <c r="C150" s="119">
        <v>102</v>
      </c>
      <c r="D150" s="119">
        <v>13.4</v>
      </c>
      <c r="E150" s="119">
        <v>24.2</v>
      </c>
      <c r="F150" s="119">
        <v>20.5</v>
      </c>
      <c r="G150" s="119">
        <v>249</v>
      </c>
      <c r="H150" s="122">
        <v>13.8</v>
      </c>
    </row>
    <row r="151" spans="1:8" x14ac:dyDescent="0.25">
      <c r="A151">
        <v>104</v>
      </c>
      <c r="B151" s="119">
        <v>1103</v>
      </c>
      <c r="C151" s="119">
        <v>103</v>
      </c>
      <c r="D151" s="119">
        <v>13.5</v>
      </c>
      <c r="E151" s="119">
        <v>24.4</v>
      </c>
      <c r="F151" s="119">
        <v>20.7</v>
      </c>
      <c r="G151" s="119">
        <v>252</v>
      </c>
      <c r="H151" s="122">
        <v>14</v>
      </c>
    </row>
    <row r="152" spans="1:8" x14ac:dyDescent="0.25">
      <c r="A152">
        <v>105</v>
      </c>
      <c r="B152" s="119">
        <v>1104</v>
      </c>
      <c r="C152" s="119">
        <v>104</v>
      </c>
      <c r="D152" s="119">
        <v>13.7</v>
      </c>
      <c r="E152" s="119">
        <v>24.6</v>
      </c>
      <c r="F152" s="119">
        <v>20.9</v>
      </c>
      <c r="G152" s="119">
        <v>254</v>
      </c>
      <c r="H152" s="122">
        <v>14.1</v>
      </c>
    </row>
    <row r="153" spans="1:8" x14ac:dyDescent="0.25">
      <c r="A153">
        <v>106</v>
      </c>
      <c r="B153" s="119">
        <v>1105</v>
      </c>
      <c r="C153" s="119">
        <v>105</v>
      </c>
      <c r="D153" s="119">
        <v>13.8</v>
      </c>
      <c r="E153" s="119">
        <v>24.9</v>
      </c>
      <c r="F153" s="119">
        <v>21.1</v>
      </c>
      <c r="G153" s="119">
        <v>257</v>
      </c>
      <c r="H153" s="122">
        <v>14.3</v>
      </c>
    </row>
    <row r="154" spans="1:8" x14ac:dyDescent="0.25">
      <c r="A154">
        <v>107</v>
      </c>
      <c r="B154" s="119">
        <v>1106</v>
      </c>
      <c r="C154" s="119">
        <v>106</v>
      </c>
      <c r="D154" s="119">
        <v>13.9</v>
      </c>
      <c r="E154" s="119">
        <v>25.1</v>
      </c>
      <c r="F154" s="119">
        <v>21.3</v>
      </c>
      <c r="G154" s="119">
        <v>260</v>
      </c>
      <c r="H154" s="122">
        <v>14.4</v>
      </c>
    </row>
    <row r="155" spans="1:8" x14ac:dyDescent="0.25">
      <c r="A155">
        <v>108</v>
      </c>
      <c r="B155" s="119">
        <v>1107</v>
      </c>
      <c r="C155" s="119">
        <v>107</v>
      </c>
      <c r="D155" s="119">
        <v>14</v>
      </c>
      <c r="E155" s="119">
        <v>25.3</v>
      </c>
      <c r="F155" s="119">
        <v>21.4</v>
      </c>
      <c r="G155" s="119">
        <v>262</v>
      </c>
      <c r="H155" s="122">
        <v>14.6</v>
      </c>
    </row>
    <row r="156" spans="1:8" x14ac:dyDescent="0.25">
      <c r="A156">
        <v>109</v>
      </c>
      <c r="B156" s="119">
        <v>1108</v>
      </c>
      <c r="C156" s="119">
        <v>108</v>
      </c>
      <c r="D156" s="119">
        <v>14.1</v>
      </c>
      <c r="E156" s="119">
        <v>25.5</v>
      </c>
      <c r="F156" s="119">
        <v>21.6</v>
      </c>
      <c r="G156" s="119">
        <v>265</v>
      </c>
      <c r="H156" s="122">
        <v>14.7</v>
      </c>
    </row>
    <row r="157" spans="1:8" x14ac:dyDescent="0.25">
      <c r="A157">
        <v>110</v>
      </c>
      <c r="B157" s="119">
        <v>1109</v>
      </c>
      <c r="C157" s="119">
        <v>109</v>
      </c>
      <c r="D157" s="119">
        <v>14.3</v>
      </c>
      <c r="E157" s="119">
        <v>25.7</v>
      </c>
      <c r="F157" s="119">
        <v>21.8</v>
      </c>
      <c r="G157" s="119">
        <v>267</v>
      </c>
      <c r="H157" s="122">
        <v>14.8</v>
      </c>
    </row>
    <row r="158" spans="1:8" x14ac:dyDescent="0.25">
      <c r="A158">
        <v>111</v>
      </c>
      <c r="B158" s="119">
        <v>1110</v>
      </c>
      <c r="C158" s="119">
        <v>110</v>
      </c>
      <c r="D158" s="119">
        <v>14.4</v>
      </c>
      <c r="E158" s="119">
        <v>25.9</v>
      </c>
      <c r="F158" s="119">
        <v>22</v>
      </c>
      <c r="G158" s="119">
        <v>270</v>
      </c>
      <c r="H158" s="122">
        <v>15</v>
      </c>
    </row>
    <row r="159" spans="1:8" x14ac:dyDescent="0.25">
      <c r="A159">
        <v>112</v>
      </c>
      <c r="B159" s="119">
        <v>1111</v>
      </c>
      <c r="C159" s="119">
        <v>111</v>
      </c>
      <c r="D159" s="119">
        <v>14.5</v>
      </c>
      <c r="E159" s="119">
        <v>26.2</v>
      </c>
      <c r="F159" s="119">
        <v>22.2</v>
      </c>
      <c r="G159" s="119">
        <v>272</v>
      </c>
      <c r="H159" s="122">
        <v>15.1</v>
      </c>
    </row>
    <row r="160" spans="1:8" x14ac:dyDescent="0.25">
      <c r="A160">
        <v>113</v>
      </c>
      <c r="B160" s="119">
        <v>1112</v>
      </c>
      <c r="C160" s="119">
        <v>112</v>
      </c>
      <c r="D160" s="119">
        <v>14.6</v>
      </c>
      <c r="E160" s="119">
        <v>26.4</v>
      </c>
      <c r="F160" s="119">
        <v>22.3</v>
      </c>
      <c r="G160" s="119">
        <v>275</v>
      </c>
      <c r="H160" s="122">
        <v>15.3</v>
      </c>
    </row>
    <row r="161" spans="1:8" x14ac:dyDescent="0.25">
      <c r="A161">
        <v>114</v>
      </c>
      <c r="B161" s="119">
        <v>1113</v>
      </c>
      <c r="C161" s="119">
        <v>113</v>
      </c>
      <c r="D161" s="119">
        <v>14.7</v>
      </c>
      <c r="E161" s="119">
        <v>26.6</v>
      </c>
      <c r="F161" s="119">
        <v>22.5</v>
      </c>
      <c r="G161" s="119">
        <v>278</v>
      </c>
      <c r="H161" s="122">
        <v>15.4</v>
      </c>
    </row>
    <row r="162" spans="1:8" x14ac:dyDescent="0.25">
      <c r="A162">
        <v>115</v>
      </c>
      <c r="B162" s="119">
        <v>1114</v>
      </c>
      <c r="C162" s="119">
        <v>114</v>
      </c>
      <c r="D162" s="119">
        <v>14.8</v>
      </c>
      <c r="E162" s="119">
        <v>26.8</v>
      </c>
      <c r="F162" s="119">
        <v>22.7</v>
      </c>
      <c r="G162" s="119">
        <v>280</v>
      </c>
      <c r="H162" s="122">
        <v>15.6</v>
      </c>
    </row>
    <row r="163" spans="1:8" x14ac:dyDescent="0.25">
      <c r="A163">
        <v>116</v>
      </c>
      <c r="B163" s="119">
        <v>1115</v>
      </c>
      <c r="C163" s="119">
        <v>115</v>
      </c>
      <c r="D163" s="119">
        <v>15</v>
      </c>
      <c r="E163" s="119">
        <v>27</v>
      </c>
      <c r="F163" s="119">
        <v>22.9</v>
      </c>
      <c r="G163" s="119">
        <v>283</v>
      </c>
      <c r="H163" s="122">
        <v>15.7</v>
      </c>
    </row>
    <row r="164" spans="1:8" x14ac:dyDescent="0.25">
      <c r="A164">
        <v>117</v>
      </c>
      <c r="B164" s="119">
        <v>1116</v>
      </c>
      <c r="C164" s="119">
        <v>116</v>
      </c>
      <c r="D164" s="119">
        <v>15.1</v>
      </c>
      <c r="E164" s="119">
        <v>27.2</v>
      </c>
      <c r="F164" s="119">
        <v>23.1</v>
      </c>
      <c r="G164" s="119">
        <v>285</v>
      </c>
      <c r="H164" s="122">
        <v>15.9</v>
      </c>
    </row>
    <row r="165" spans="1:8" x14ac:dyDescent="0.25">
      <c r="A165">
        <v>118</v>
      </c>
      <c r="B165" s="119">
        <v>1117</v>
      </c>
      <c r="C165" s="119">
        <v>117</v>
      </c>
      <c r="D165" s="119">
        <v>15.2</v>
      </c>
      <c r="E165" s="119">
        <v>27.4</v>
      </c>
      <c r="F165" s="119">
        <v>23.21</v>
      </c>
      <c r="G165" s="119">
        <v>288</v>
      </c>
      <c r="H165" s="122">
        <v>16</v>
      </c>
    </row>
    <row r="166" spans="1:8" x14ac:dyDescent="0.25">
      <c r="A166">
        <v>119</v>
      </c>
      <c r="B166" s="119">
        <v>1118</v>
      </c>
      <c r="C166" s="119">
        <v>118</v>
      </c>
      <c r="D166" s="119">
        <v>15.3</v>
      </c>
      <c r="E166" s="119">
        <v>27.7</v>
      </c>
      <c r="F166" s="119">
        <v>23.4</v>
      </c>
      <c r="G166" s="119">
        <v>291</v>
      </c>
      <c r="H166" s="122">
        <v>16.100000000000001</v>
      </c>
    </row>
    <row r="167" spans="1:8" x14ac:dyDescent="0.25">
      <c r="A167">
        <v>120</v>
      </c>
      <c r="B167" s="119">
        <v>1119</v>
      </c>
      <c r="C167" s="119">
        <v>119</v>
      </c>
      <c r="D167" s="119">
        <v>15.4</v>
      </c>
      <c r="E167" s="119">
        <v>27.9</v>
      </c>
      <c r="F167" s="119">
        <v>23.6</v>
      </c>
      <c r="G167" s="119">
        <v>293</v>
      </c>
      <c r="H167" s="122">
        <v>16.3</v>
      </c>
    </row>
    <row r="168" spans="1:8" x14ac:dyDescent="0.25">
      <c r="A168">
        <v>121</v>
      </c>
      <c r="B168" s="119">
        <v>1120</v>
      </c>
      <c r="C168" s="119">
        <v>120</v>
      </c>
      <c r="D168" s="119">
        <v>15.5</v>
      </c>
      <c r="E168" s="119">
        <v>28.1</v>
      </c>
      <c r="F168" s="119">
        <v>23.8</v>
      </c>
      <c r="G168" s="119">
        <v>296</v>
      </c>
      <c r="H168" s="122">
        <v>16.399999999999999</v>
      </c>
    </row>
    <row r="169" spans="1:8" x14ac:dyDescent="0.25">
      <c r="A169">
        <v>122</v>
      </c>
      <c r="B169" s="119">
        <v>1121</v>
      </c>
      <c r="C169" s="119">
        <v>121</v>
      </c>
      <c r="D169" s="119">
        <v>15.7</v>
      </c>
      <c r="E169" s="119">
        <v>28.3</v>
      </c>
      <c r="F169" s="119">
        <v>23.9</v>
      </c>
      <c r="G169" s="119">
        <v>299</v>
      </c>
      <c r="H169" s="122">
        <v>16.600000000000001</v>
      </c>
    </row>
    <row r="170" spans="1:8" x14ac:dyDescent="0.25">
      <c r="A170">
        <v>123</v>
      </c>
      <c r="B170" s="119">
        <v>1122</v>
      </c>
      <c r="C170" s="119">
        <v>122</v>
      </c>
      <c r="D170" s="119">
        <v>15.8</v>
      </c>
      <c r="E170" s="119">
        <v>28.5</v>
      </c>
      <c r="F170" s="119">
        <v>24.1</v>
      </c>
      <c r="G170" s="119">
        <v>301</v>
      </c>
      <c r="H170" s="122">
        <v>16.7</v>
      </c>
    </row>
    <row r="171" spans="1:8" x14ac:dyDescent="0.25">
      <c r="A171">
        <v>124</v>
      </c>
      <c r="B171" s="119">
        <v>1123</v>
      </c>
      <c r="C171" s="119">
        <v>123</v>
      </c>
      <c r="D171" s="119">
        <v>15.9</v>
      </c>
      <c r="E171" s="119">
        <v>28.7</v>
      </c>
      <c r="F171" s="119">
        <v>24.3</v>
      </c>
      <c r="G171" s="119">
        <v>304</v>
      </c>
      <c r="H171" s="122">
        <v>16.899999999999999</v>
      </c>
    </row>
    <row r="172" spans="1:8" x14ac:dyDescent="0.25">
      <c r="A172">
        <v>125</v>
      </c>
      <c r="B172" s="119">
        <v>1124</v>
      </c>
      <c r="C172" s="119">
        <v>124</v>
      </c>
      <c r="D172" s="119">
        <v>16</v>
      </c>
      <c r="E172" s="119">
        <v>28.9</v>
      </c>
      <c r="F172" s="119">
        <v>24.5</v>
      </c>
      <c r="G172" s="119">
        <v>306</v>
      </c>
      <c r="H172" s="122">
        <v>17</v>
      </c>
    </row>
    <row r="173" spans="1:8" x14ac:dyDescent="0.25">
      <c r="A173">
        <v>126</v>
      </c>
      <c r="B173" s="119">
        <v>1125</v>
      </c>
      <c r="C173" s="119">
        <v>125</v>
      </c>
      <c r="D173" s="119">
        <v>16.100000000000001</v>
      </c>
      <c r="E173" s="119">
        <v>29.1</v>
      </c>
      <c r="F173" s="119">
        <v>24.7</v>
      </c>
      <c r="G173" s="119">
        <v>309</v>
      </c>
      <c r="H173" s="122">
        <v>17.2</v>
      </c>
    </row>
    <row r="174" spans="1:8" x14ac:dyDescent="0.25">
      <c r="A174">
        <v>127</v>
      </c>
      <c r="B174" s="119">
        <v>1126</v>
      </c>
      <c r="C174" s="119">
        <v>126</v>
      </c>
      <c r="D174" s="119">
        <v>16.2</v>
      </c>
      <c r="E174" s="119">
        <v>29.3</v>
      </c>
      <c r="F174" s="119">
        <v>24.8</v>
      </c>
      <c r="G174" s="119">
        <v>312</v>
      </c>
      <c r="H174" s="122">
        <v>17.3</v>
      </c>
    </row>
    <row r="175" spans="1:8" x14ac:dyDescent="0.25">
      <c r="A175">
        <v>128</v>
      </c>
      <c r="B175" s="119">
        <v>1127</v>
      </c>
      <c r="C175" s="119">
        <v>127</v>
      </c>
      <c r="D175" s="119">
        <v>16.3</v>
      </c>
      <c r="E175" s="119">
        <v>29.6</v>
      </c>
      <c r="F175" s="119">
        <v>25</v>
      </c>
      <c r="G175" s="119">
        <v>314</v>
      </c>
      <c r="H175" s="122">
        <v>17.5</v>
      </c>
    </row>
    <row r="176" spans="1:8" x14ac:dyDescent="0.25">
      <c r="A176">
        <v>129</v>
      </c>
      <c r="B176" s="119">
        <v>1128</v>
      </c>
      <c r="C176" s="119">
        <v>128</v>
      </c>
      <c r="D176" s="119">
        <v>16.5</v>
      </c>
      <c r="E176" s="119">
        <v>29.8</v>
      </c>
      <c r="F176" s="119">
        <v>25.2</v>
      </c>
      <c r="G176" s="119">
        <v>317</v>
      </c>
      <c r="H176" s="122">
        <v>17.600000000000001</v>
      </c>
    </row>
    <row r="177" spans="1:8" x14ac:dyDescent="0.25">
      <c r="A177">
        <v>130</v>
      </c>
      <c r="B177" s="119">
        <v>1129</v>
      </c>
      <c r="C177" s="119">
        <v>129</v>
      </c>
      <c r="D177" s="119">
        <v>16.600000000000001</v>
      </c>
      <c r="E177" s="119">
        <v>30</v>
      </c>
      <c r="F177" s="119">
        <v>25.3</v>
      </c>
      <c r="G177" s="119">
        <v>320</v>
      </c>
      <c r="H177" s="122">
        <v>17.8</v>
      </c>
    </row>
    <row r="178" spans="1:8" x14ac:dyDescent="0.25">
      <c r="A178">
        <v>131</v>
      </c>
      <c r="B178" s="119">
        <v>1130</v>
      </c>
      <c r="C178" s="119">
        <v>130</v>
      </c>
      <c r="D178" s="119">
        <v>16.7</v>
      </c>
      <c r="E178" s="119">
        <v>30.2</v>
      </c>
      <c r="F178" s="119">
        <v>25.5</v>
      </c>
      <c r="G178" s="119">
        <v>322</v>
      </c>
      <c r="H178" s="122">
        <v>17.899999999999999</v>
      </c>
    </row>
    <row r="179" spans="1:8" x14ac:dyDescent="0.25">
      <c r="A179">
        <v>132</v>
      </c>
      <c r="B179" s="119">
        <v>1131</v>
      </c>
      <c r="C179" s="119">
        <v>131</v>
      </c>
      <c r="D179" s="119">
        <v>16.8</v>
      </c>
      <c r="E179" s="119">
        <v>30.4</v>
      </c>
      <c r="F179" s="119">
        <v>25.7</v>
      </c>
      <c r="G179" s="119">
        <v>325</v>
      </c>
      <c r="H179" s="122">
        <v>18</v>
      </c>
    </row>
    <row r="180" spans="1:8" x14ac:dyDescent="0.25">
      <c r="A180">
        <v>133</v>
      </c>
      <c r="B180" s="119">
        <v>1132</v>
      </c>
      <c r="C180" s="119">
        <v>132</v>
      </c>
      <c r="D180" s="119">
        <v>16.899999999999999</v>
      </c>
      <c r="E180" s="119">
        <v>30.6</v>
      </c>
      <c r="F180" s="119">
        <v>25.9</v>
      </c>
      <c r="G180" s="119">
        <v>327</v>
      </c>
      <c r="H180" s="122">
        <v>18.2</v>
      </c>
    </row>
    <row r="181" spans="1:8" x14ac:dyDescent="0.25">
      <c r="A181">
        <v>134</v>
      </c>
      <c r="B181" s="119">
        <v>1133</v>
      </c>
      <c r="C181" s="119">
        <v>133</v>
      </c>
      <c r="D181" s="119">
        <v>17</v>
      </c>
      <c r="E181" s="119">
        <v>30.8</v>
      </c>
      <c r="F181" s="119">
        <v>26</v>
      </c>
      <c r="G181" s="119">
        <v>330</v>
      </c>
      <c r="H181" s="122">
        <v>18.3</v>
      </c>
    </row>
    <row r="182" spans="1:8" x14ac:dyDescent="0.25">
      <c r="A182">
        <v>135</v>
      </c>
      <c r="B182" s="119">
        <v>1134</v>
      </c>
      <c r="C182" s="119">
        <v>134</v>
      </c>
      <c r="D182" s="119">
        <v>17.100000000000001</v>
      </c>
      <c r="E182" s="119">
        <v>31</v>
      </c>
      <c r="F182" s="119">
        <v>26.2</v>
      </c>
      <c r="G182" s="119">
        <v>333</v>
      </c>
      <c r="H182" s="122">
        <v>18.5</v>
      </c>
    </row>
    <row r="183" spans="1:8" x14ac:dyDescent="0.25">
      <c r="A183">
        <v>136</v>
      </c>
      <c r="B183" s="119">
        <v>1135</v>
      </c>
      <c r="C183" s="119">
        <v>135</v>
      </c>
      <c r="D183" s="119">
        <v>17.2</v>
      </c>
      <c r="E183" s="119">
        <v>31.2</v>
      </c>
      <c r="F183" s="119">
        <v>26.4</v>
      </c>
      <c r="G183" s="119">
        <v>335</v>
      </c>
      <c r="H183" s="122">
        <v>18.600000000000001</v>
      </c>
    </row>
    <row r="184" spans="1:8" x14ac:dyDescent="0.25">
      <c r="A184">
        <v>137</v>
      </c>
      <c r="B184" s="119">
        <v>1136</v>
      </c>
      <c r="C184" s="119">
        <v>136</v>
      </c>
      <c r="D184" s="119">
        <v>17.399999999999999</v>
      </c>
      <c r="E184" s="119">
        <v>31.4</v>
      </c>
      <c r="F184" s="119">
        <v>26.6</v>
      </c>
      <c r="G184" s="119">
        <v>338</v>
      </c>
      <c r="H184" s="122">
        <v>18.8</v>
      </c>
    </row>
    <row r="185" spans="1:8" x14ac:dyDescent="0.25">
      <c r="A185">
        <v>138</v>
      </c>
      <c r="B185" s="119">
        <v>1137</v>
      </c>
      <c r="C185" s="119">
        <v>137</v>
      </c>
      <c r="D185" s="119">
        <v>17.5</v>
      </c>
      <c r="E185" s="119">
        <v>31.6</v>
      </c>
      <c r="F185" s="119">
        <v>26.7</v>
      </c>
      <c r="G185" s="119">
        <v>341</v>
      </c>
      <c r="H185" s="122">
        <v>18.899999999999999</v>
      </c>
    </row>
    <row r="186" spans="1:8" x14ac:dyDescent="0.25">
      <c r="A186">
        <v>139</v>
      </c>
      <c r="B186" s="119">
        <v>1138</v>
      </c>
      <c r="C186" s="119">
        <v>138</v>
      </c>
      <c r="D186" s="119">
        <v>17.600000000000001</v>
      </c>
      <c r="E186" s="119">
        <v>31.8</v>
      </c>
      <c r="F186" s="119">
        <v>26.9</v>
      </c>
      <c r="G186" s="119">
        <v>343</v>
      </c>
      <c r="H186" s="122">
        <v>19.100000000000001</v>
      </c>
    </row>
    <row r="187" spans="1:8" x14ac:dyDescent="0.25">
      <c r="A187">
        <v>140</v>
      </c>
      <c r="B187" s="119">
        <v>1139</v>
      </c>
      <c r="C187" s="119">
        <v>139</v>
      </c>
      <c r="D187" s="119">
        <v>17.7</v>
      </c>
      <c r="E187" s="119">
        <v>32</v>
      </c>
      <c r="F187" s="119">
        <v>27.1</v>
      </c>
      <c r="G187" s="119">
        <v>346</v>
      </c>
      <c r="H187" s="122">
        <v>19.2</v>
      </c>
    </row>
    <row r="188" spans="1:8" x14ac:dyDescent="0.25">
      <c r="A188">
        <v>141</v>
      </c>
      <c r="B188" s="119">
        <v>1140</v>
      </c>
      <c r="C188" s="119">
        <v>140</v>
      </c>
      <c r="D188" s="119">
        <v>17.8</v>
      </c>
      <c r="E188" s="119">
        <v>32.299999999999997</v>
      </c>
      <c r="F188" s="119">
        <v>27.2</v>
      </c>
      <c r="G188" s="119">
        <v>349</v>
      </c>
      <c r="H188" s="122">
        <v>19.399999999999999</v>
      </c>
    </row>
    <row r="189" spans="1:8" x14ac:dyDescent="0.25">
      <c r="A189">
        <v>142</v>
      </c>
      <c r="B189" s="119">
        <v>1141</v>
      </c>
      <c r="C189" s="119">
        <v>141</v>
      </c>
      <c r="D189" s="119">
        <v>17.899999999999999</v>
      </c>
      <c r="E189" s="119">
        <v>32.5</v>
      </c>
      <c r="F189" s="119">
        <v>27.4</v>
      </c>
      <c r="G189" s="119">
        <v>351</v>
      </c>
      <c r="H189" s="122">
        <v>19.5</v>
      </c>
    </row>
    <row r="190" spans="1:8" x14ac:dyDescent="0.25">
      <c r="A190">
        <v>143</v>
      </c>
      <c r="B190" s="119">
        <v>1142</v>
      </c>
      <c r="C190" s="119">
        <v>142</v>
      </c>
      <c r="D190" s="119">
        <v>18</v>
      </c>
      <c r="E190" s="119">
        <v>32.700000000000003</v>
      </c>
      <c r="F190" s="119">
        <v>27.6</v>
      </c>
      <c r="G190" s="119">
        <v>354</v>
      </c>
      <c r="H190" s="122">
        <v>19.7</v>
      </c>
    </row>
    <row r="191" spans="1:8" x14ac:dyDescent="0.25">
      <c r="A191">
        <v>144</v>
      </c>
      <c r="B191" s="119">
        <v>1143</v>
      </c>
      <c r="C191" s="119">
        <v>143</v>
      </c>
      <c r="D191" s="119">
        <v>18.100000000000001</v>
      </c>
      <c r="E191" s="119">
        <v>32.9</v>
      </c>
      <c r="F191" s="119">
        <v>27.8</v>
      </c>
      <c r="G191" s="119">
        <v>357</v>
      </c>
      <c r="H191" s="122">
        <v>19.8</v>
      </c>
    </row>
    <row r="192" spans="1:8" x14ac:dyDescent="0.25">
      <c r="A192">
        <v>145</v>
      </c>
      <c r="B192" s="119">
        <v>1144</v>
      </c>
      <c r="C192" s="119">
        <v>144</v>
      </c>
      <c r="D192" s="119">
        <v>18.3</v>
      </c>
      <c r="E192" s="119">
        <v>33.1</v>
      </c>
      <c r="F192" s="119">
        <v>27.9</v>
      </c>
      <c r="G192" s="119">
        <v>360</v>
      </c>
      <c r="H192" s="122">
        <v>20</v>
      </c>
    </row>
    <row r="193" spans="1:8" x14ac:dyDescent="0.25">
      <c r="A193">
        <v>146</v>
      </c>
      <c r="B193" s="119">
        <v>1145</v>
      </c>
      <c r="C193" s="119">
        <v>145</v>
      </c>
      <c r="D193" s="119">
        <v>18.399999999999999</v>
      </c>
      <c r="E193" s="119">
        <v>33.299999999999997</v>
      </c>
      <c r="F193" s="119">
        <v>28.1</v>
      </c>
      <c r="G193" s="119">
        <v>362</v>
      </c>
      <c r="H193" s="122">
        <v>20.100000000000001</v>
      </c>
    </row>
    <row r="194" spans="1:8" x14ac:dyDescent="0.25">
      <c r="A194">
        <v>147</v>
      </c>
      <c r="B194" s="119">
        <v>1146</v>
      </c>
      <c r="C194" s="119">
        <v>146</v>
      </c>
      <c r="D194" s="119">
        <v>18.5</v>
      </c>
      <c r="E194" s="119">
        <v>33.5</v>
      </c>
      <c r="F194" s="119">
        <v>28.3</v>
      </c>
      <c r="G194" s="119">
        <v>365</v>
      </c>
      <c r="H194" s="122">
        <v>20.3</v>
      </c>
    </row>
    <row r="195" spans="1:8" x14ac:dyDescent="0.25">
      <c r="A195">
        <v>148</v>
      </c>
      <c r="B195" s="119">
        <v>1147</v>
      </c>
      <c r="C195" s="119">
        <v>147</v>
      </c>
      <c r="D195" s="119">
        <v>18.600000000000001</v>
      </c>
      <c r="E195" s="119">
        <v>33.700000000000003</v>
      </c>
      <c r="F195" s="119">
        <v>28.4</v>
      </c>
      <c r="G195" s="119">
        <v>368</v>
      </c>
      <c r="H195" s="122">
        <v>20.399999999999999</v>
      </c>
    </row>
    <row r="196" spans="1:8" x14ac:dyDescent="0.25">
      <c r="A196">
        <v>149</v>
      </c>
      <c r="B196" s="119">
        <v>1148</v>
      </c>
      <c r="C196" s="119">
        <v>148</v>
      </c>
      <c r="D196" s="119">
        <v>18.7</v>
      </c>
      <c r="E196" s="119">
        <v>33.9</v>
      </c>
      <c r="F196" s="119">
        <v>28.6</v>
      </c>
      <c r="G196" s="119">
        <v>370</v>
      </c>
      <c r="H196" s="122">
        <v>20.6</v>
      </c>
    </row>
    <row r="197" spans="1:8" x14ac:dyDescent="0.25">
      <c r="A197">
        <v>150</v>
      </c>
      <c r="B197" s="119">
        <v>1149</v>
      </c>
      <c r="C197" s="119">
        <v>149</v>
      </c>
      <c r="D197" s="119">
        <v>18.8</v>
      </c>
      <c r="E197" s="119">
        <v>34.1</v>
      </c>
      <c r="F197" s="119">
        <v>28.8</v>
      </c>
      <c r="G197" s="119">
        <v>373</v>
      </c>
      <c r="H197" s="122">
        <v>20.7</v>
      </c>
    </row>
    <row r="198" spans="1:8" x14ac:dyDescent="0.25">
      <c r="A198">
        <v>151</v>
      </c>
      <c r="B198" s="119">
        <v>1150</v>
      </c>
      <c r="C198" s="119">
        <v>150</v>
      </c>
      <c r="D198" s="119">
        <v>18.899999999999999</v>
      </c>
      <c r="E198" s="119">
        <v>34.299999999999997</v>
      </c>
      <c r="F198" s="119">
        <v>28.9</v>
      </c>
      <c r="G198" s="119">
        <v>376</v>
      </c>
      <c r="H198" s="122">
        <v>20.9</v>
      </c>
    </row>
    <row r="199" spans="1:8" x14ac:dyDescent="0.25">
      <c r="C199" s="119"/>
    </row>
    <row r="200" spans="1:8" x14ac:dyDescent="0.25">
      <c r="C200" s="119"/>
    </row>
    <row r="201" spans="1:8" x14ac:dyDescent="0.25">
      <c r="C201" s="119"/>
    </row>
    <row r="202" spans="1:8" x14ac:dyDescent="0.25">
      <c r="C202" s="119"/>
    </row>
    <row r="203" spans="1:8" x14ac:dyDescent="0.25">
      <c r="C203" s="119"/>
    </row>
    <row r="204" spans="1:8" x14ac:dyDescent="0.25">
      <c r="C204" s="119"/>
    </row>
    <row r="205" spans="1:8" x14ac:dyDescent="0.25">
      <c r="C205" s="119"/>
    </row>
    <row r="206" spans="1:8" x14ac:dyDescent="0.25">
      <c r="C206" s="119"/>
    </row>
    <row r="207" spans="1:8" x14ac:dyDescent="0.25">
      <c r="C207" s="119"/>
    </row>
    <row r="208" spans="1:8" x14ac:dyDescent="0.25">
      <c r="C208" s="119"/>
    </row>
    <row r="209" spans="3:3" x14ac:dyDescent="0.25">
      <c r="C209" s="119"/>
    </row>
    <row r="210" spans="3:3" x14ac:dyDescent="0.25">
      <c r="C210" s="119"/>
    </row>
    <row r="211" spans="3:3" x14ac:dyDescent="0.25">
      <c r="C211" s="119"/>
    </row>
  </sheetData>
  <sheetProtection password="CC70" sheet="1" objects="1" scenarios="1"/>
  <mergeCells count="13">
    <mergeCell ref="D3:F3"/>
    <mergeCell ref="G3:I3"/>
    <mergeCell ref="B44:H44"/>
    <mergeCell ref="B45:B46"/>
    <mergeCell ref="C45:C46"/>
    <mergeCell ref="D45:D46"/>
    <mergeCell ref="E45:E46"/>
    <mergeCell ref="D5:D6"/>
    <mergeCell ref="E5:E6"/>
    <mergeCell ref="F5:F6"/>
    <mergeCell ref="G5:G6"/>
    <mergeCell ref="B10:O12"/>
    <mergeCell ref="B13:O15"/>
  </mergeCells>
  <conditionalFormatting sqref="E8">
    <cfRule type="cellIs" dxfId="0" priority="1" operator="equal">
      <formula>0</formula>
    </cfRule>
  </conditionalFormatting>
  <hyperlinks>
    <hyperlink ref="B44" location="cite_note-4" display="cite_note-4"/>
  </hyperlinks>
  <pageMargins left="0.25" right="0.25" top="0.75" bottom="0.75" header="0.3" footer="0.3"/>
  <pageSetup paperSize="9"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Drop Down 5">
              <controlPr defaultSize="0" autoLine="0" autoPict="0">
                <anchor moveWithCells="1">
                  <from>
                    <xdr:col>1</xdr:col>
                    <xdr:colOff>733425</xdr:colOff>
                    <xdr:row>7</xdr:row>
                    <xdr:rowOff>0</xdr:rowOff>
                  </from>
                  <to>
                    <xdr:col>2</xdr:col>
                    <xdr:colOff>752475</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B1" zoomScale="130" zoomScaleNormal="130" workbookViewId="0">
      <pane xSplit="12" ySplit="26" topLeftCell="N45" activePane="bottomRight" state="frozenSplit"/>
      <selection activeCell="B1" sqref="B1"/>
      <selection pane="topRight" activeCell="O1" sqref="O1"/>
      <selection pane="bottomLeft" activeCell="A27" sqref="A27"/>
      <selection pane="bottomRight" activeCell="I13" sqref="I13"/>
    </sheetView>
  </sheetViews>
  <sheetFormatPr baseColWidth="10" defaultRowHeight="15" x14ac:dyDescent="0.25"/>
  <cols>
    <col min="1" max="1" width="11.42578125" style="77" hidden="1" customWidth="1"/>
    <col min="2" max="2" width="11.42578125" style="77"/>
    <col min="3" max="3" width="2.42578125" style="77" customWidth="1"/>
    <col min="4" max="4" width="11.42578125" style="78"/>
    <col min="5" max="5" width="22.7109375" customWidth="1"/>
    <col min="6" max="6" width="4" customWidth="1"/>
    <col min="7" max="7" width="9" style="1" customWidth="1"/>
    <col min="9" max="9" width="15" customWidth="1"/>
    <col min="10" max="10" width="11.42578125" customWidth="1"/>
    <col min="12" max="12" width="11.42578125" customWidth="1"/>
    <col min="13" max="13" width="51.28515625" customWidth="1"/>
    <col min="15" max="15" width="12.28515625" customWidth="1"/>
    <col min="16" max="16" width="25.28515625" customWidth="1"/>
  </cols>
  <sheetData>
    <row r="1" spans="1:16" x14ac:dyDescent="0.25">
      <c r="A1" s="73" t="s">
        <v>30</v>
      </c>
      <c r="B1" s="73" t="s">
        <v>93</v>
      </c>
      <c r="C1" s="73"/>
      <c r="D1" s="74" t="s">
        <v>31</v>
      </c>
      <c r="E1" s="23"/>
      <c r="F1" s="23"/>
      <c r="G1" s="24"/>
      <c r="H1" s="23"/>
      <c r="I1" s="23"/>
      <c r="J1" s="23"/>
      <c r="K1" s="23"/>
      <c r="L1" s="23"/>
      <c r="M1" s="23"/>
      <c r="N1" s="23"/>
      <c r="O1" s="23"/>
      <c r="P1" s="23"/>
    </row>
    <row r="2" spans="1:16" x14ac:dyDescent="0.25">
      <c r="A2" s="242"/>
      <c r="B2" s="243"/>
      <c r="C2" s="73"/>
      <c r="D2" s="74"/>
      <c r="E2" s="23"/>
      <c r="F2" s="23"/>
      <c r="G2" s="24"/>
      <c r="H2" s="23"/>
      <c r="I2" s="23"/>
      <c r="J2" s="23"/>
      <c r="K2" s="23"/>
      <c r="L2" s="23"/>
      <c r="M2" s="23"/>
      <c r="N2" s="23"/>
      <c r="O2" s="23"/>
      <c r="P2" s="23"/>
    </row>
    <row r="3" spans="1:16" ht="15.75" thickBot="1" x14ac:dyDescent="0.3">
      <c r="A3" s="242" t="s">
        <v>32</v>
      </c>
      <c r="B3" s="244" t="s">
        <v>269</v>
      </c>
      <c r="C3" s="75" t="s">
        <v>95</v>
      </c>
      <c r="D3" s="74">
        <v>992</v>
      </c>
      <c r="E3" s="23" t="s">
        <v>23</v>
      </c>
      <c r="F3" s="23"/>
      <c r="G3" s="24"/>
      <c r="H3" s="23"/>
      <c r="I3" s="24" t="s">
        <v>94</v>
      </c>
      <c r="J3" s="23"/>
      <c r="K3" s="23"/>
      <c r="L3" s="23"/>
      <c r="M3" s="23"/>
      <c r="N3" s="23"/>
      <c r="O3" s="23"/>
      <c r="P3" s="23"/>
    </row>
    <row r="4" spans="1:16" ht="15.75" thickBot="1" x14ac:dyDescent="0.3">
      <c r="A4" s="242" t="s">
        <v>24</v>
      </c>
      <c r="B4" s="244" t="s">
        <v>270</v>
      </c>
      <c r="C4" s="75" t="s">
        <v>95</v>
      </c>
      <c r="D4" s="74">
        <v>1000</v>
      </c>
      <c r="E4" s="23"/>
      <c r="F4" s="23"/>
      <c r="G4" s="388" t="s">
        <v>33</v>
      </c>
      <c r="H4" s="23"/>
      <c r="I4" s="79" t="str">
        <f>VLOOKUP(G4,A2:D7,2,FALSE)</f>
        <v>+ 85 Gr/L</v>
      </c>
      <c r="J4" s="73">
        <f>VLOOKUP(G4,A2:D7,4,FALSE)</f>
        <v>1020</v>
      </c>
      <c r="K4" s="23"/>
      <c r="L4" s="23"/>
      <c r="M4" s="23"/>
      <c r="N4" s="23"/>
      <c r="O4" s="23"/>
      <c r="P4" s="23"/>
    </row>
    <row r="5" spans="1:16" x14ac:dyDescent="0.25">
      <c r="A5" s="242" t="s">
        <v>267</v>
      </c>
      <c r="B5" s="244" t="s">
        <v>271</v>
      </c>
      <c r="C5" s="75" t="s">
        <v>95</v>
      </c>
      <c r="D5" s="74">
        <v>1006</v>
      </c>
      <c r="E5" s="23"/>
      <c r="F5" s="23"/>
      <c r="G5" s="24"/>
      <c r="H5" s="23"/>
      <c r="I5" s="23"/>
      <c r="J5" s="23"/>
      <c r="K5" s="23"/>
      <c r="L5" s="23"/>
      <c r="M5" s="23"/>
      <c r="N5" s="23"/>
      <c r="O5" s="23"/>
      <c r="P5" s="23"/>
    </row>
    <row r="6" spans="1:16" ht="15.75" thickBot="1" x14ac:dyDescent="0.3">
      <c r="A6" s="242" t="s">
        <v>268</v>
      </c>
      <c r="B6" s="244" t="s">
        <v>272</v>
      </c>
      <c r="C6" s="75" t="s">
        <v>95</v>
      </c>
      <c r="D6" s="74">
        <v>1015</v>
      </c>
      <c r="E6" s="23"/>
      <c r="F6" s="23"/>
      <c r="G6" s="24"/>
      <c r="H6" s="23"/>
      <c r="I6" s="23"/>
      <c r="J6" s="23"/>
      <c r="K6" s="23"/>
      <c r="L6" s="23"/>
      <c r="M6" s="23"/>
      <c r="N6" s="23"/>
      <c r="O6" s="23"/>
      <c r="P6" s="23"/>
    </row>
    <row r="7" spans="1:16" ht="15.75" thickBot="1" x14ac:dyDescent="0.3">
      <c r="A7" s="242" t="s">
        <v>33</v>
      </c>
      <c r="B7" s="245" t="s">
        <v>273</v>
      </c>
      <c r="C7" s="75" t="s">
        <v>95</v>
      </c>
      <c r="D7" s="76">
        <v>1020</v>
      </c>
      <c r="E7" s="23" t="s">
        <v>29</v>
      </c>
      <c r="F7" s="23"/>
      <c r="G7" s="388">
        <v>996</v>
      </c>
      <c r="H7" s="23"/>
      <c r="I7" s="23"/>
      <c r="J7" s="23"/>
      <c r="K7" s="23"/>
      <c r="L7" s="23"/>
      <c r="M7" s="23"/>
      <c r="N7" s="23"/>
      <c r="O7" s="23"/>
      <c r="P7" s="23"/>
    </row>
    <row r="8" spans="1:16" ht="15.75" thickBot="1" x14ac:dyDescent="0.3">
      <c r="A8" s="73"/>
      <c r="B8" s="243"/>
      <c r="C8" s="73"/>
      <c r="D8" s="74"/>
      <c r="E8" s="23"/>
      <c r="F8" s="23"/>
      <c r="G8" s="24"/>
      <c r="H8" s="23"/>
      <c r="I8" s="23"/>
      <c r="J8" s="23"/>
      <c r="K8" s="23"/>
      <c r="L8" s="23"/>
      <c r="M8" s="23"/>
      <c r="N8" s="23"/>
      <c r="O8" s="23"/>
      <c r="P8" s="23"/>
    </row>
    <row r="9" spans="1:16" ht="15.75" thickBot="1" x14ac:dyDescent="0.3">
      <c r="A9" s="73"/>
      <c r="B9" s="73"/>
      <c r="C9" s="73"/>
      <c r="D9" s="74"/>
      <c r="E9" s="23" t="s">
        <v>25</v>
      </c>
      <c r="F9" s="23"/>
      <c r="G9" s="388">
        <v>1056</v>
      </c>
      <c r="H9" s="23"/>
      <c r="I9" s="23"/>
      <c r="J9" s="23"/>
      <c r="K9" s="23"/>
      <c r="L9" s="23"/>
      <c r="M9" s="23"/>
      <c r="N9" s="23"/>
      <c r="O9" s="23"/>
      <c r="P9" s="23"/>
    </row>
    <row r="10" spans="1:16" ht="15.75" thickBot="1" x14ac:dyDescent="0.3">
      <c r="A10" s="73"/>
      <c r="B10" s="73"/>
      <c r="C10" s="73"/>
      <c r="D10" s="74"/>
      <c r="E10" s="23"/>
      <c r="F10" s="23"/>
      <c r="G10" s="24"/>
      <c r="H10" s="23"/>
      <c r="I10" s="23"/>
      <c r="J10" s="23"/>
      <c r="K10" s="23"/>
      <c r="L10" s="23"/>
      <c r="M10" s="23"/>
      <c r="N10" s="23"/>
      <c r="O10" s="23"/>
      <c r="P10" s="23"/>
    </row>
    <row r="11" spans="1:16" ht="15.75" thickBot="1" x14ac:dyDescent="0.3">
      <c r="A11" s="73"/>
      <c r="B11" s="73"/>
      <c r="C11" s="73"/>
      <c r="D11" s="74"/>
      <c r="E11" s="23" t="s">
        <v>15</v>
      </c>
      <c r="F11" s="23"/>
      <c r="G11" s="14">
        <f>G7-G9</f>
        <v>-60</v>
      </c>
      <c r="H11" s="23"/>
      <c r="I11" s="23"/>
      <c r="J11" s="23"/>
      <c r="K11" s="23"/>
      <c r="L11" s="23"/>
      <c r="M11" s="23"/>
      <c r="N11" s="23"/>
      <c r="O11" s="23"/>
      <c r="P11" s="23"/>
    </row>
    <row r="12" spans="1:16" ht="15.75" thickBot="1" x14ac:dyDescent="0.3">
      <c r="A12" s="73"/>
      <c r="B12" s="73"/>
      <c r="C12" s="73"/>
      <c r="D12" s="74"/>
      <c r="E12" s="23"/>
      <c r="F12" s="23"/>
      <c r="G12" s="24"/>
      <c r="H12" s="23"/>
      <c r="I12" s="23"/>
      <c r="J12" s="23"/>
      <c r="K12" s="23"/>
      <c r="L12" s="23"/>
      <c r="M12" s="23"/>
      <c r="N12" s="23"/>
      <c r="O12" s="23"/>
      <c r="P12" s="23"/>
    </row>
    <row r="13" spans="1:16" ht="15.75" thickBot="1" x14ac:dyDescent="0.3">
      <c r="A13" s="73"/>
      <c r="B13" s="73"/>
      <c r="C13" s="73"/>
      <c r="D13" s="74"/>
      <c r="E13" s="23" t="s">
        <v>26</v>
      </c>
      <c r="F13" s="23"/>
      <c r="G13" s="17">
        <f>G11/0.38</f>
        <v>-157.89473684210526</v>
      </c>
      <c r="H13" s="23" t="s">
        <v>34</v>
      </c>
      <c r="I13" s="23"/>
      <c r="J13" s="23"/>
      <c r="K13" s="23"/>
      <c r="L13" s="23"/>
      <c r="M13" s="23"/>
      <c r="N13" s="23"/>
      <c r="O13" s="23"/>
      <c r="P13" s="23"/>
    </row>
    <row r="14" spans="1:16" x14ac:dyDescent="0.25">
      <c r="A14" s="73"/>
      <c r="B14" s="73"/>
      <c r="C14" s="73"/>
      <c r="D14" s="74"/>
      <c r="E14" s="23"/>
      <c r="F14" s="23"/>
      <c r="G14" s="24"/>
      <c r="H14" s="23"/>
      <c r="I14" s="23"/>
      <c r="J14" s="23"/>
      <c r="K14" s="23"/>
      <c r="L14" s="23"/>
      <c r="M14" s="23"/>
      <c r="N14" s="23"/>
      <c r="O14" s="23"/>
      <c r="P14" s="23"/>
    </row>
    <row r="15" spans="1:16" ht="15.75" thickBot="1" x14ac:dyDescent="0.3">
      <c r="A15" s="73"/>
      <c r="B15" s="73"/>
      <c r="C15" s="73"/>
      <c r="D15" s="74"/>
      <c r="E15" s="23"/>
      <c r="F15" s="23"/>
      <c r="G15" s="24"/>
      <c r="H15" s="23"/>
      <c r="I15" s="23"/>
      <c r="J15" s="23"/>
      <c r="K15" s="23"/>
      <c r="L15" s="23"/>
      <c r="M15" s="23"/>
      <c r="N15" s="23"/>
      <c r="O15" s="23"/>
      <c r="P15" s="23"/>
    </row>
    <row r="16" spans="1:16" ht="15.75" thickBot="1" x14ac:dyDescent="0.3">
      <c r="A16" s="73"/>
      <c r="B16" s="73"/>
      <c r="C16" s="73"/>
      <c r="D16" s="74"/>
      <c r="E16" s="23" t="s">
        <v>27</v>
      </c>
      <c r="F16" s="23"/>
      <c r="G16" s="388">
        <v>20</v>
      </c>
      <c r="H16" s="23" t="s">
        <v>4</v>
      </c>
      <c r="I16" s="23"/>
      <c r="J16" s="23"/>
      <c r="K16" s="23"/>
      <c r="L16" s="23"/>
      <c r="M16" s="23"/>
      <c r="N16" s="23"/>
      <c r="O16" s="23"/>
      <c r="P16" s="23"/>
    </row>
    <row r="17" spans="1:16" ht="15.75" thickBot="1" x14ac:dyDescent="0.3">
      <c r="A17" s="73"/>
      <c r="B17" s="73"/>
      <c r="C17" s="73"/>
      <c r="D17" s="74"/>
      <c r="E17" s="23"/>
      <c r="F17" s="23"/>
      <c r="G17" s="24"/>
      <c r="H17" s="23"/>
      <c r="I17" s="23"/>
      <c r="J17" s="23"/>
      <c r="K17" s="23"/>
      <c r="L17" s="23"/>
      <c r="M17" s="23"/>
      <c r="N17" s="23"/>
      <c r="O17" s="23"/>
      <c r="P17" s="23"/>
    </row>
    <row r="18" spans="1:16" ht="15.75" thickBot="1" x14ac:dyDescent="0.3">
      <c r="A18" s="73"/>
      <c r="B18" s="73"/>
      <c r="C18" s="73"/>
      <c r="D18" s="74"/>
      <c r="E18" s="23" t="s">
        <v>28</v>
      </c>
      <c r="F18" s="23"/>
      <c r="G18" s="17">
        <f>G16*G13</f>
        <v>-3157.894736842105</v>
      </c>
      <c r="H18" s="23" t="s">
        <v>34</v>
      </c>
      <c r="I18" s="23"/>
      <c r="J18" s="23"/>
      <c r="K18" s="23"/>
      <c r="L18" s="23"/>
      <c r="M18" s="23"/>
      <c r="N18" s="23"/>
      <c r="O18" s="23"/>
      <c r="P18" s="23"/>
    </row>
    <row r="19" spans="1:16" x14ac:dyDescent="0.25">
      <c r="A19" s="73"/>
      <c r="B19" s="73"/>
      <c r="C19" s="73"/>
      <c r="D19" s="74"/>
      <c r="E19" s="23"/>
      <c r="F19" s="23"/>
      <c r="G19" s="24"/>
      <c r="H19" s="23"/>
      <c r="I19" s="23"/>
      <c r="J19" s="23"/>
      <c r="K19" s="23"/>
      <c r="L19" s="23"/>
      <c r="M19" s="23"/>
      <c r="N19" s="23"/>
      <c r="O19" s="23"/>
      <c r="P19" s="23"/>
    </row>
    <row r="20" spans="1:16" ht="14.25" customHeight="1" x14ac:dyDescent="0.25">
      <c r="A20" s="73"/>
      <c r="B20" s="73"/>
      <c r="C20" s="73"/>
      <c r="D20" s="74"/>
      <c r="E20" s="23"/>
      <c r="F20" s="23"/>
      <c r="G20" s="24"/>
      <c r="H20" s="23"/>
      <c r="I20" s="23"/>
      <c r="J20" s="23"/>
      <c r="K20" s="23"/>
      <c r="L20" s="23"/>
      <c r="M20" s="23"/>
      <c r="N20" s="23"/>
      <c r="O20" s="23"/>
      <c r="P20" s="23"/>
    </row>
    <row r="21" spans="1:16" x14ac:dyDescent="0.25">
      <c r="A21" s="73"/>
      <c r="B21" s="73"/>
      <c r="C21" s="73"/>
      <c r="D21" s="74"/>
      <c r="E21" s="23"/>
      <c r="F21" s="23"/>
      <c r="G21" s="24"/>
      <c r="H21" s="23"/>
      <c r="I21" s="23"/>
      <c r="J21" s="23"/>
      <c r="K21" s="23"/>
      <c r="L21" s="23"/>
      <c r="M21" s="23"/>
      <c r="N21" s="23"/>
      <c r="O21" s="23"/>
      <c r="P21" s="23"/>
    </row>
    <row r="22" spans="1:16" x14ac:dyDescent="0.25">
      <c r="A22" s="73"/>
      <c r="B22" s="73"/>
      <c r="C22" s="73"/>
      <c r="D22" s="74"/>
      <c r="E22" s="23"/>
      <c r="F22" s="23"/>
      <c r="G22" s="24"/>
      <c r="H22" s="23"/>
      <c r="I22" s="23"/>
      <c r="J22" s="23"/>
      <c r="K22" s="23"/>
      <c r="L22" s="23"/>
      <c r="M22" s="23"/>
      <c r="N22" s="23"/>
      <c r="O22" s="23"/>
      <c r="P22" s="23"/>
    </row>
    <row r="23" spans="1:16" x14ac:dyDescent="0.25">
      <c r="A23" s="73"/>
      <c r="B23" s="73"/>
      <c r="C23" s="73"/>
      <c r="D23" s="74"/>
      <c r="E23" s="23"/>
      <c r="F23" s="23"/>
      <c r="G23" s="24"/>
      <c r="H23" s="23"/>
      <c r="I23" s="23"/>
      <c r="J23" s="23"/>
      <c r="K23" s="23"/>
      <c r="L23" s="23"/>
      <c r="M23" s="23"/>
      <c r="N23" s="23"/>
      <c r="O23" s="23"/>
      <c r="P23" s="23"/>
    </row>
    <row r="24" spans="1:16" x14ac:dyDescent="0.25">
      <c r="A24" s="73"/>
      <c r="B24" s="73"/>
      <c r="C24" s="73"/>
      <c r="D24" s="74"/>
      <c r="E24" s="23"/>
      <c r="F24" s="23"/>
      <c r="G24" s="24"/>
      <c r="H24" s="23"/>
      <c r="I24" s="23"/>
      <c r="J24" s="23"/>
      <c r="K24" s="23"/>
      <c r="L24" s="23"/>
      <c r="M24" s="23"/>
      <c r="N24" s="23"/>
      <c r="O24" s="23"/>
      <c r="P24" s="23"/>
    </row>
    <row r="25" spans="1:16" ht="18" customHeight="1" x14ac:dyDescent="0.25">
      <c r="A25" s="73"/>
      <c r="B25" s="73"/>
      <c r="C25" s="73"/>
      <c r="D25" s="74"/>
      <c r="E25" s="23"/>
      <c r="F25" s="23"/>
      <c r="G25" s="24"/>
      <c r="H25" s="23"/>
      <c r="I25" s="23"/>
      <c r="J25" s="23"/>
      <c r="K25" s="23"/>
      <c r="L25" s="23"/>
      <c r="M25" s="23"/>
      <c r="N25" s="23"/>
      <c r="O25" s="23"/>
      <c r="P25" s="23"/>
    </row>
    <row r="26" spans="1:16" ht="15" customHeight="1" x14ac:dyDescent="0.25">
      <c r="A26" s="73"/>
      <c r="B26" s="73"/>
      <c r="C26" s="73"/>
      <c r="D26" s="74"/>
      <c r="E26" s="23"/>
      <c r="F26" s="23"/>
      <c r="G26" s="24"/>
      <c r="H26" s="23"/>
      <c r="I26" s="23"/>
      <c r="J26" s="23"/>
      <c r="K26" s="23"/>
      <c r="L26" s="23"/>
      <c r="M26" s="23"/>
      <c r="N26" s="23"/>
      <c r="O26" s="23"/>
      <c r="P26" s="23"/>
    </row>
    <row r="30" spans="1:16" x14ac:dyDescent="0.25">
      <c r="F30">
        <v>1</v>
      </c>
    </row>
    <row r="31" spans="1:16" x14ac:dyDescent="0.25">
      <c r="F31">
        <v>2</v>
      </c>
      <c r="G31" s="72" t="s">
        <v>88</v>
      </c>
    </row>
    <row r="32" spans="1:16" x14ac:dyDescent="0.25">
      <c r="F32">
        <v>3</v>
      </c>
      <c r="G32" s="72" t="s">
        <v>89</v>
      </c>
    </row>
    <row r="33" spans="6:7" x14ac:dyDescent="0.25">
      <c r="F33">
        <v>4</v>
      </c>
      <c r="G33" s="72" t="s">
        <v>90</v>
      </c>
    </row>
    <row r="34" spans="6:7" x14ac:dyDescent="0.25">
      <c r="F34">
        <v>5</v>
      </c>
      <c r="G34" s="72" t="s">
        <v>92</v>
      </c>
    </row>
    <row r="35" spans="6:7" x14ac:dyDescent="0.25">
      <c r="F35">
        <v>6</v>
      </c>
      <c r="G35" s="72" t="s">
        <v>91</v>
      </c>
    </row>
  </sheetData>
  <sheetProtection password="CC70" sheet="1" objects="1" scenarios="1"/>
  <dataValidations count="2">
    <dataValidation type="list" allowBlank="1" showInputMessage="1" showErrorMessage="1" sqref="G4">
      <formula1>type</formula1>
    </dataValidation>
    <dataValidation showInputMessage="1" showErrorMessage="1" sqref="G7"/>
  </dataValidations>
  <pageMargins left="0.11811023622047245" right="0.19685039370078741" top="0.15748031496062992" bottom="0.19685039370078741" header="0.31496062992125984" footer="0.31496062992125984"/>
  <pageSetup paperSize="9" orientation="landscape" horizontalDpi="4294967293" verticalDpi="0" r:id="rId1"/>
  <headerFooter>
    <oddFooter>&amp;C&amp;F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pane xSplit="9" topLeftCell="J1" activePane="topRight" state="frozenSplit"/>
      <selection pane="topRight" activeCell="I13" sqref="I13"/>
    </sheetView>
  </sheetViews>
  <sheetFormatPr baseColWidth="10" defaultRowHeight="15" x14ac:dyDescent="0.25"/>
  <cols>
    <col min="1" max="1" width="50.5703125" customWidth="1"/>
    <col min="2" max="2" width="11.42578125" customWidth="1"/>
    <col min="3" max="3" width="9.85546875" customWidth="1"/>
    <col min="4" max="4" width="11" customWidth="1"/>
    <col min="5" max="5" width="6.140625" customWidth="1"/>
    <col min="6" max="6" width="19.85546875" customWidth="1"/>
    <col min="7" max="8" width="7.85546875" style="279" customWidth="1"/>
    <col min="9" max="9" width="97.28515625" customWidth="1"/>
  </cols>
  <sheetData>
    <row r="1" spans="1:9" x14ac:dyDescent="0.25">
      <c r="A1" s="206"/>
      <c r="B1" s="206"/>
      <c r="C1" s="206"/>
      <c r="D1" s="206"/>
      <c r="E1" s="206"/>
      <c r="F1" s="206"/>
      <c r="G1" s="206"/>
      <c r="H1" s="206"/>
      <c r="I1" s="206"/>
    </row>
    <row r="2" spans="1:9" ht="26.25" x14ac:dyDescent="0.4">
      <c r="A2" s="206"/>
      <c r="B2" s="443" t="s">
        <v>377</v>
      </c>
      <c r="C2" s="206"/>
      <c r="D2" s="206"/>
      <c r="E2" s="206"/>
      <c r="F2" s="206"/>
      <c r="G2" s="206"/>
      <c r="H2" s="206"/>
      <c r="I2" s="206"/>
    </row>
    <row r="3" spans="1:9" ht="15.75" thickBot="1" x14ac:dyDescent="0.3">
      <c r="A3" s="206"/>
      <c r="B3" s="206"/>
      <c r="C3" s="206"/>
      <c r="D3" s="206"/>
      <c r="E3" s="206"/>
      <c r="F3" s="206"/>
      <c r="G3" s="206"/>
      <c r="H3" s="206"/>
      <c r="I3" s="206"/>
    </row>
    <row r="4" spans="1:9" ht="32.25" thickBot="1" x14ac:dyDescent="0.55000000000000004">
      <c r="A4" s="206"/>
      <c r="B4" s="207"/>
      <c r="C4" s="399">
        <v>0</v>
      </c>
      <c r="D4" s="207" t="s">
        <v>4</v>
      </c>
      <c r="E4" s="207"/>
      <c r="F4" s="206"/>
      <c r="G4" s="206"/>
      <c r="H4" s="206"/>
      <c r="I4" s="206"/>
    </row>
    <row r="5" spans="1:9" ht="32.25" thickBot="1" x14ac:dyDescent="0.55000000000000004">
      <c r="A5" s="206"/>
      <c r="B5" s="207"/>
      <c r="C5" s="207"/>
      <c r="D5" s="207"/>
      <c r="E5" s="207"/>
      <c r="F5" s="206"/>
      <c r="G5" s="206"/>
      <c r="H5" s="206"/>
      <c r="I5" s="206"/>
    </row>
    <row r="6" spans="1:9" ht="36.75" thickBot="1" x14ac:dyDescent="0.6">
      <c r="A6" s="444" t="s">
        <v>379</v>
      </c>
      <c r="B6" s="399">
        <v>15</v>
      </c>
      <c r="C6" s="207"/>
      <c r="D6" s="399">
        <f>C4*B6</f>
        <v>0</v>
      </c>
      <c r="E6" s="207" t="s">
        <v>10</v>
      </c>
      <c r="F6" s="208" t="s">
        <v>246</v>
      </c>
      <c r="G6" s="208"/>
      <c r="H6" s="208"/>
      <c r="I6" s="206"/>
    </row>
    <row r="7" spans="1:9" x14ac:dyDescent="0.25">
      <c r="A7" s="206"/>
      <c r="B7" s="206"/>
      <c r="C7" s="206"/>
      <c r="D7" s="206"/>
      <c r="E7" s="206"/>
      <c r="F7" s="206"/>
      <c r="G7" s="206"/>
      <c r="H7" s="206"/>
      <c r="I7" s="206"/>
    </row>
    <row r="8" spans="1:9" x14ac:dyDescent="0.25">
      <c r="A8" s="206"/>
      <c r="B8" s="206"/>
      <c r="C8" s="206"/>
      <c r="D8" s="206"/>
      <c r="E8" s="206"/>
      <c r="F8" s="206"/>
      <c r="G8" s="206"/>
      <c r="H8" s="206"/>
      <c r="I8" s="206"/>
    </row>
    <row r="9" spans="1:9" ht="26.25" x14ac:dyDescent="0.4">
      <c r="A9" s="206"/>
      <c r="B9" s="443" t="s">
        <v>378</v>
      </c>
      <c r="C9" s="206"/>
      <c r="D9" s="206"/>
      <c r="E9" s="206"/>
      <c r="F9" s="206"/>
      <c r="G9" s="206"/>
      <c r="H9" s="206"/>
      <c r="I9" s="206"/>
    </row>
    <row r="10" spans="1:9" x14ac:dyDescent="0.25">
      <c r="A10" s="206"/>
      <c r="B10" s="206"/>
      <c r="C10" s="206"/>
      <c r="D10" s="206"/>
      <c r="E10" s="206"/>
      <c r="F10" s="206"/>
      <c r="G10" s="206"/>
      <c r="H10" s="206"/>
      <c r="I10" s="206"/>
    </row>
    <row r="11" spans="1:9" x14ac:dyDescent="0.25">
      <c r="A11" s="206"/>
      <c r="B11" s="206"/>
      <c r="C11" s="206" t="s">
        <v>380</v>
      </c>
      <c r="D11" s="206"/>
      <c r="E11" s="206"/>
      <c r="F11" s="206"/>
      <c r="G11" s="206"/>
      <c r="H11" s="206"/>
      <c r="I11" s="206"/>
    </row>
    <row r="12" spans="1:9" x14ac:dyDescent="0.25">
      <c r="A12" s="206"/>
      <c r="B12" s="206"/>
      <c r="C12" s="206"/>
      <c r="D12" s="206"/>
      <c r="E12" s="206"/>
      <c r="F12" s="206"/>
      <c r="G12" s="206"/>
      <c r="H12" s="206"/>
      <c r="I12" s="206"/>
    </row>
    <row r="13" spans="1:9" x14ac:dyDescent="0.25">
      <c r="A13" s="206"/>
      <c r="B13" s="206"/>
      <c r="C13" s="206"/>
      <c r="D13" s="206"/>
      <c r="E13" s="206"/>
      <c r="F13" s="206"/>
      <c r="G13" s="206"/>
      <c r="H13" s="206"/>
      <c r="I13" s="206"/>
    </row>
    <row r="14" spans="1:9" x14ac:dyDescent="0.25">
      <c r="A14" s="206"/>
      <c r="B14" s="206"/>
      <c r="C14" s="206"/>
      <c r="D14" s="206"/>
      <c r="E14" s="206"/>
      <c r="F14" s="206"/>
      <c r="G14" s="206"/>
      <c r="H14" s="206"/>
      <c r="I14" s="206"/>
    </row>
    <row r="15" spans="1:9" x14ac:dyDescent="0.25">
      <c r="A15" s="206"/>
      <c r="B15" s="206"/>
      <c r="C15" s="206"/>
      <c r="D15" s="206"/>
      <c r="E15" s="206"/>
      <c r="F15" s="206"/>
      <c r="G15" s="206"/>
      <c r="H15" s="206"/>
      <c r="I15" s="206"/>
    </row>
    <row r="16" spans="1:9" x14ac:dyDescent="0.25">
      <c r="A16" s="206"/>
      <c r="B16" s="206"/>
      <c r="C16" s="206"/>
      <c r="D16" s="206"/>
      <c r="E16" s="206"/>
      <c r="F16" s="206"/>
      <c r="G16" s="206"/>
      <c r="H16" s="206"/>
      <c r="I16" s="206"/>
    </row>
    <row r="17" spans="1:9" ht="84.75" customHeight="1" x14ac:dyDescent="0.25">
      <c r="A17" s="206"/>
      <c r="B17" s="206"/>
      <c r="C17" s="206"/>
      <c r="D17" s="206"/>
      <c r="E17" s="206"/>
      <c r="F17" s="206"/>
      <c r="G17" s="206"/>
      <c r="H17" s="206"/>
      <c r="I17" s="206"/>
    </row>
    <row r="18" spans="1:9" x14ac:dyDescent="0.25">
      <c r="A18" s="206"/>
      <c r="B18" s="206"/>
      <c r="C18" s="206"/>
      <c r="D18" s="206"/>
      <c r="E18" s="206"/>
      <c r="F18" s="206"/>
      <c r="G18" s="206"/>
      <c r="H18" s="206"/>
      <c r="I18" s="206"/>
    </row>
    <row r="19" spans="1:9" x14ac:dyDescent="0.25">
      <c r="A19" s="206"/>
      <c r="B19" s="206"/>
      <c r="C19" s="206"/>
      <c r="D19" s="206"/>
      <c r="E19" s="206"/>
      <c r="F19" s="206"/>
      <c r="G19" s="206"/>
      <c r="H19" s="206"/>
      <c r="I19" s="206"/>
    </row>
    <row r="20" spans="1:9" x14ac:dyDescent="0.25">
      <c r="A20" s="206"/>
      <c r="B20" s="206"/>
      <c r="C20" s="206"/>
      <c r="D20" s="206"/>
      <c r="E20" s="206"/>
      <c r="F20" s="206"/>
      <c r="G20" s="206"/>
      <c r="H20" s="206"/>
      <c r="I20" s="206"/>
    </row>
    <row r="21" spans="1:9" x14ac:dyDescent="0.25">
      <c r="A21" s="206"/>
      <c r="B21" s="206"/>
      <c r="C21" s="206"/>
      <c r="D21" s="206"/>
      <c r="E21" s="206"/>
      <c r="F21" s="206"/>
      <c r="G21" s="206"/>
      <c r="H21" s="206"/>
      <c r="I21" s="206"/>
    </row>
    <row r="22" spans="1:9" x14ac:dyDescent="0.25">
      <c r="A22" s="206"/>
      <c r="B22" s="206"/>
      <c r="C22" s="206"/>
      <c r="D22" s="206"/>
      <c r="E22" s="206"/>
      <c r="F22" s="206"/>
      <c r="G22" s="206"/>
      <c r="H22" s="206"/>
      <c r="I22" s="206"/>
    </row>
  </sheetData>
  <sheetProtection password="CC70" sheet="1" objects="1" scenarios="1"/>
  <pageMargins left="0.23622047244094491" right="0.23622047244094491" top="0.74803149606299213" bottom="0.74803149606299213" header="0.31496062992125984" footer="0.31496062992125984"/>
  <pageSetup paperSize="9" orientation="landscape" horizontalDpi="4294967294" verticalDpi="0" r:id="rId1"/>
  <headerFooter>
    <oddFooter>&amp;C&amp;F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10" sqref="F10"/>
    </sheetView>
  </sheetViews>
  <sheetFormatPr baseColWidth="10" defaultRowHeight="15" x14ac:dyDescent="0.25"/>
  <cols>
    <col min="1" max="1" width="4.7109375" customWidth="1"/>
    <col min="2" max="2" width="7.5703125" customWidth="1"/>
    <col min="3" max="3" width="50.42578125" customWidth="1"/>
    <col min="4" max="4" width="6.140625" customWidth="1"/>
    <col min="5" max="5" width="9.140625"/>
    <col min="6" max="6" width="62.28515625" customWidth="1"/>
    <col min="7" max="7" width="2.7109375" customWidth="1"/>
  </cols>
  <sheetData>
    <row r="1" spans="1:7" x14ac:dyDescent="0.25">
      <c r="A1" s="280"/>
      <c r="B1" s="280"/>
      <c r="C1" s="280"/>
      <c r="D1" s="280"/>
      <c r="E1" s="280"/>
      <c r="F1" s="280"/>
      <c r="G1" s="280"/>
    </row>
    <row r="2" spans="1:7" x14ac:dyDescent="0.25">
      <c r="A2" s="280"/>
      <c r="B2" s="281" t="s">
        <v>352</v>
      </c>
      <c r="C2" s="282"/>
      <c r="D2" s="283"/>
      <c r="E2" s="284"/>
      <c r="F2" s="285" t="s">
        <v>278</v>
      </c>
      <c r="G2" s="280"/>
    </row>
    <row r="3" spans="1:7" x14ac:dyDescent="0.25">
      <c r="A3" s="280"/>
      <c r="B3" s="286" t="s">
        <v>279</v>
      </c>
      <c r="C3" s="287"/>
      <c r="D3" s="288"/>
      <c r="E3" s="289"/>
      <c r="F3" s="290"/>
      <c r="G3" s="280"/>
    </row>
    <row r="4" spans="1:7" x14ac:dyDescent="0.25">
      <c r="A4" s="280"/>
      <c r="B4" s="291"/>
      <c r="C4" s="292"/>
      <c r="D4" s="293"/>
      <c r="E4" s="294"/>
      <c r="F4" s="295"/>
      <c r="G4" s="280"/>
    </row>
    <row r="5" spans="1:7" ht="7.5" customHeight="1" x14ac:dyDescent="0.25">
      <c r="A5" s="280"/>
      <c r="B5" s="296"/>
      <c r="C5" s="296"/>
      <c r="D5" s="297"/>
      <c r="E5" s="296"/>
      <c r="F5" s="296"/>
      <c r="G5" s="280"/>
    </row>
    <row r="6" spans="1:7" x14ac:dyDescent="0.25">
      <c r="A6" s="280"/>
      <c r="B6" s="298"/>
      <c r="C6" s="299"/>
      <c r="D6" s="300"/>
      <c r="E6" s="299"/>
      <c r="F6" s="301"/>
      <c r="G6" s="280"/>
    </row>
    <row r="7" spans="1:7" x14ac:dyDescent="0.25">
      <c r="A7" s="280"/>
      <c r="B7" s="302" t="s">
        <v>280</v>
      </c>
      <c r="C7" s="303" t="s">
        <v>281</v>
      </c>
      <c r="D7" s="404">
        <v>13</v>
      </c>
      <c r="E7" s="304" t="s">
        <v>282</v>
      </c>
      <c r="F7" s="305"/>
      <c r="G7" s="280"/>
    </row>
    <row r="8" spans="1:7" x14ac:dyDescent="0.25">
      <c r="A8" s="280"/>
      <c r="B8" s="302" t="s">
        <v>283</v>
      </c>
      <c r="C8" s="303" t="s">
        <v>284</v>
      </c>
      <c r="D8" s="404">
        <v>7</v>
      </c>
      <c r="E8" s="304" t="s">
        <v>282</v>
      </c>
      <c r="F8" s="305"/>
      <c r="G8" s="280"/>
    </row>
    <row r="9" spans="1:7" x14ac:dyDescent="0.25">
      <c r="A9" s="280"/>
      <c r="B9" s="306"/>
      <c r="C9" s="303" t="s">
        <v>285</v>
      </c>
      <c r="D9" s="307">
        <f>D7-D8</f>
        <v>6</v>
      </c>
      <c r="E9" s="304" t="s">
        <v>282</v>
      </c>
      <c r="F9" s="305"/>
      <c r="G9" s="280"/>
    </row>
    <row r="10" spans="1:7" x14ac:dyDescent="0.25">
      <c r="A10" s="280"/>
      <c r="B10" s="302" t="s">
        <v>283</v>
      </c>
      <c r="C10" s="303" t="s">
        <v>286</v>
      </c>
      <c r="D10" s="404">
        <v>24</v>
      </c>
      <c r="E10" s="296" t="s">
        <v>287</v>
      </c>
      <c r="F10" s="305"/>
      <c r="G10" s="280"/>
    </row>
    <row r="11" spans="1:7" x14ac:dyDescent="0.25">
      <c r="A11" s="280"/>
      <c r="B11" s="308"/>
      <c r="C11" s="303" t="s">
        <v>288</v>
      </c>
      <c r="D11" s="376">
        <f>D10*D9</f>
        <v>144</v>
      </c>
      <c r="E11" s="296" t="s">
        <v>289</v>
      </c>
      <c r="F11" s="305"/>
      <c r="G11" s="280"/>
    </row>
    <row r="12" spans="1:7" x14ac:dyDescent="0.25">
      <c r="A12" s="280"/>
      <c r="B12" s="306"/>
      <c r="C12" s="303" t="s">
        <v>290</v>
      </c>
      <c r="D12" s="376">
        <f>D11*0.67</f>
        <v>96.48</v>
      </c>
      <c r="E12" s="296" t="s">
        <v>289</v>
      </c>
      <c r="F12" s="305"/>
      <c r="G12" s="280"/>
    </row>
    <row r="13" spans="1:7" x14ac:dyDescent="0.25">
      <c r="A13" s="280"/>
      <c r="B13" s="306"/>
      <c r="C13" s="309" t="s">
        <v>291</v>
      </c>
      <c r="D13" s="376">
        <f>D7-2</f>
        <v>11</v>
      </c>
      <c r="E13" s="304" t="s">
        <v>282</v>
      </c>
      <c r="F13" s="305"/>
      <c r="G13" s="280"/>
    </row>
    <row r="14" spans="1:7" x14ac:dyDescent="0.25">
      <c r="A14" s="280"/>
      <c r="B14" s="306"/>
      <c r="C14" s="309" t="s">
        <v>292</v>
      </c>
      <c r="D14" s="376">
        <f>D11/D13</f>
        <v>13.090909090909092</v>
      </c>
      <c r="E14" s="296" t="s">
        <v>287</v>
      </c>
      <c r="F14" s="305"/>
      <c r="G14" s="280"/>
    </row>
    <row r="15" spans="1:7" x14ac:dyDescent="0.25">
      <c r="A15" s="280"/>
      <c r="B15" s="306"/>
      <c r="C15" s="303" t="s">
        <v>293</v>
      </c>
      <c r="D15" s="376">
        <f>D10-D14</f>
        <v>10.909090909090908</v>
      </c>
      <c r="E15" s="296" t="s">
        <v>287</v>
      </c>
      <c r="F15" s="305"/>
      <c r="G15" s="280"/>
    </row>
    <row r="16" spans="1:7" x14ac:dyDescent="0.25">
      <c r="A16" s="280"/>
      <c r="B16" s="306"/>
      <c r="C16" s="296"/>
      <c r="D16" s="297"/>
      <c r="E16" s="296"/>
      <c r="F16" s="305"/>
      <c r="G16" s="280"/>
    </row>
    <row r="17" spans="1:7" x14ac:dyDescent="0.25">
      <c r="A17" s="280"/>
      <c r="B17" s="306" t="s">
        <v>294</v>
      </c>
      <c r="C17" s="303" t="s">
        <v>295</v>
      </c>
      <c r="D17" s="376">
        <f>D12</f>
        <v>96.48</v>
      </c>
      <c r="E17" s="304" t="s">
        <v>296</v>
      </c>
      <c r="F17" s="305"/>
      <c r="G17" s="280"/>
    </row>
    <row r="18" spans="1:7" x14ac:dyDescent="0.25">
      <c r="A18" s="280"/>
      <c r="B18" s="310" t="s">
        <v>297</v>
      </c>
      <c r="C18" s="303" t="s">
        <v>298</v>
      </c>
      <c r="D18" s="376">
        <f>D14</f>
        <v>13.090909090909092</v>
      </c>
      <c r="E18" s="304" t="s">
        <v>299</v>
      </c>
      <c r="F18" s="311"/>
      <c r="G18" s="280"/>
    </row>
    <row r="19" spans="1:7" ht="15" customHeight="1" x14ac:dyDescent="0.25">
      <c r="A19" s="280"/>
      <c r="B19" s="310" t="s">
        <v>300</v>
      </c>
      <c r="C19" s="762" t="s">
        <v>301</v>
      </c>
      <c r="D19" s="762"/>
      <c r="E19" s="763" t="s">
        <v>359</v>
      </c>
      <c r="F19" s="764"/>
      <c r="G19" s="280"/>
    </row>
    <row r="20" spans="1:7" x14ac:dyDescent="0.25">
      <c r="A20" s="280"/>
      <c r="B20" s="306"/>
      <c r="C20" s="312"/>
      <c r="D20" s="313"/>
      <c r="E20" s="314" t="s">
        <v>360</v>
      </c>
      <c r="F20" s="315"/>
      <c r="G20" s="280"/>
    </row>
    <row r="21" spans="1:7" x14ac:dyDescent="0.25">
      <c r="A21" s="280"/>
      <c r="B21" s="310" t="s">
        <v>302</v>
      </c>
      <c r="C21" s="309" t="s">
        <v>303</v>
      </c>
      <c r="D21" s="376">
        <f>D15</f>
        <v>10.909090909090908</v>
      </c>
      <c r="E21" s="304" t="s">
        <v>304</v>
      </c>
      <c r="F21" s="305"/>
      <c r="G21" s="280"/>
    </row>
    <row r="22" spans="1:7" x14ac:dyDescent="0.25">
      <c r="A22" s="280"/>
      <c r="B22" s="306"/>
      <c r="C22" s="309"/>
      <c r="D22" s="307"/>
      <c r="E22" s="296"/>
      <c r="F22" s="305"/>
      <c r="G22" s="280"/>
    </row>
    <row r="23" spans="1:7" x14ac:dyDescent="0.25">
      <c r="A23" s="280"/>
      <c r="B23" s="310" t="s">
        <v>305</v>
      </c>
      <c r="C23" s="316" t="s">
        <v>306</v>
      </c>
      <c r="D23" s="307"/>
      <c r="E23" s="296"/>
      <c r="F23" s="305"/>
      <c r="G23" s="280"/>
    </row>
    <row r="24" spans="1:7" x14ac:dyDescent="0.25">
      <c r="A24" s="280"/>
      <c r="B24" s="317"/>
      <c r="C24" s="318" t="s">
        <v>307</v>
      </c>
      <c r="D24" s="319"/>
      <c r="E24" s="320"/>
      <c r="F24" s="321"/>
      <c r="G24" s="280"/>
    </row>
    <row r="25" spans="1:7" x14ac:dyDescent="0.25">
      <c r="A25" s="280"/>
      <c r="B25" s="280"/>
      <c r="C25" s="280"/>
      <c r="D25" s="280"/>
      <c r="E25" s="280"/>
      <c r="F25" s="280"/>
      <c r="G25" s="280"/>
    </row>
    <row r="26" spans="1:7" x14ac:dyDescent="0.25">
      <c r="A26" s="280"/>
      <c r="B26" s="322" t="s">
        <v>308</v>
      </c>
      <c r="C26" s="299"/>
      <c r="D26" s="300"/>
      <c r="E26" s="299"/>
      <c r="F26" s="323"/>
      <c r="G26" s="280"/>
    </row>
    <row r="27" spans="1:7" x14ac:dyDescent="0.25">
      <c r="A27" s="280"/>
      <c r="B27" s="324" t="s">
        <v>309</v>
      </c>
      <c r="C27" s="296"/>
      <c r="D27" s="297"/>
      <c r="E27" s="296"/>
      <c r="F27" s="305"/>
      <c r="G27" s="280"/>
    </row>
    <row r="28" spans="1:7" x14ac:dyDescent="0.25">
      <c r="A28" s="280"/>
      <c r="B28" s="325" t="s">
        <v>310</v>
      </c>
      <c r="C28" s="320"/>
      <c r="D28" s="319"/>
      <c r="E28" s="320"/>
      <c r="F28" s="321"/>
      <c r="G28" s="280"/>
    </row>
    <row r="29" spans="1:7" x14ac:dyDescent="0.25">
      <c r="A29" s="280"/>
      <c r="B29" s="280"/>
      <c r="C29" s="280"/>
      <c r="D29" s="280"/>
      <c r="E29" s="280"/>
      <c r="F29" s="280"/>
      <c r="G29" s="280"/>
    </row>
    <row r="30" spans="1:7" x14ac:dyDescent="0.25">
      <c r="A30" s="280"/>
      <c r="B30" s="326" t="s">
        <v>311</v>
      </c>
      <c r="C30" s="327"/>
      <c r="D30" s="328"/>
      <c r="E30" s="329"/>
      <c r="F30" s="330"/>
      <c r="G30" s="280"/>
    </row>
    <row r="31" spans="1:7" x14ac:dyDescent="0.25">
      <c r="A31" s="280"/>
      <c r="B31" s="280"/>
      <c r="C31" s="280"/>
      <c r="D31" s="280"/>
      <c r="E31" s="280"/>
      <c r="F31" s="280"/>
      <c r="G31" s="280"/>
    </row>
  </sheetData>
  <sheetProtection password="CC70" sheet="1" objects="1" scenarios="1"/>
  <mergeCells count="2">
    <mergeCell ref="C19:D19"/>
    <mergeCell ref="E19:F19"/>
  </mergeCells>
  <pageMargins left="0.23622047244094491" right="0.23622047244094491" top="0.74803149606299213" bottom="0.74803149606299213" header="0.31496062992125984" footer="0.31496062992125984"/>
  <pageSetup paperSize="9" orientation="landscape" horizontalDpi="4294967294" verticalDpi="0" r:id="rId1"/>
  <headerFooter>
    <oddFooter xml:space="preserve">&amp;C&amp;F                  &amp;A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C7" sqref="C7"/>
    </sheetView>
  </sheetViews>
  <sheetFormatPr baseColWidth="10" defaultRowHeight="15" x14ac:dyDescent="0.25"/>
  <cols>
    <col min="1" max="1" width="1.7109375" customWidth="1"/>
    <col min="2" max="2" width="32.5703125" customWidth="1"/>
    <col min="3" max="3" width="6.42578125" style="211" customWidth="1"/>
    <col min="4" max="5" width="9.140625"/>
    <col min="6" max="6" width="29" customWidth="1"/>
    <col min="7" max="7" width="4.28515625" customWidth="1"/>
    <col min="8" max="8" width="48.42578125" customWidth="1"/>
    <col min="9" max="9" width="1.5703125" customWidth="1"/>
    <col min="10" max="10" width="20" customWidth="1"/>
    <col min="11" max="16" width="9.140625"/>
    <col min="17" max="17" width="9.140625" customWidth="1"/>
  </cols>
  <sheetData>
    <row r="1" spans="1:18" x14ac:dyDescent="0.25">
      <c r="A1" s="331"/>
      <c r="B1" s="331"/>
      <c r="C1" s="355"/>
      <c r="D1" s="331"/>
      <c r="E1" s="331"/>
      <c r="F1" s="331"/>
      <c r="G1" s="331"/>
      <c r="H1" s="331"/>
      <c r="I1" s="331"/>
      <c r="J1" s="331"/>
      <c r="K1" s="331"/>
      <c r="L1" s="331"/>
      <c r="M1" s="331"/>
      <c r="N1" s="331"/>
      <c r="O1" s="331"/>
      <c r="P1" s="331"/>
      <c r="Q1" s="331"/>
      <c r="R1" s="331"/>
    </row>
    <row r="2" spans="1:18" x14ac:dyDescent="0.25">
      <c r="A2" s="331"/>
      <c r="B2" s="332" t="s">
        <v>353</v>
      </c>
      <c r="C2" s="356"/>
      <c r="D2" s="333"/>
      <c r="E2" s="333"/>
      <c r="F2" s="333"/>
      <c r="G2" s="333"/>
      <c r="H2" s="334"/>
      <c r="I2" s="331"/>
      <c r="J2" s="331"/>
      <c r="K2" s="331"/>
      <c r="L2" s="331"/>
      <c r="M2" s="331"/>
      <c r="N2" s="331"/>
      <c r="O2" s="331"/>
      <c r="P2" s="331"/>
      <c r="Q2" s="331" t="s">
        <v>716</v>
      </c>
      <c r="R2" s="331"/>
    </row>
    <row r="3" spans="1:18" x14ac:dyDescent="0.25">
      <c r="A3" s="331"/>
      <c r="B3" s="335" t="s">
        <v>312</v>
      </c>
      <c r="C3" s="357"/>
      <c r="D3" s="336"/>
      <c r="E3" s="336"/>
      <c r="F3" s="336"/>
      <c r="G3" s="336"/>
      <c r="H3" s="337"/>
      <c r="I3" s="331"/>
      <c r="J3" s="331"/>
      <c r="K3" s="331"/>
      <c r="L3" s="331"/>
      <c r="M3" s="331"/>
      <c r="N3" s="331"/>
      <c r="O3" s="331"/>
      <c r="P3" s="331"/>
      <c r="Q3" s="331" t="s">
        <v>313</v>
      </c>
      <c r="R3" s="331"/>
    </row>
    <row r="4" spans="1:18" x14ac:dyDescent="0.25">
      <c r="A4" s="331"/>
      <c r="B4" s="338" t="s">
        <v>314</v>
      </c>
      <c r="C4" s="358"/>
      <c r="D4" s="339"/>
      <c r="E4" s="339"/>
      <c r="F4" s="339"/>
      <c r="G4" s="339"/>
      <c r="H4" s="340"/>
      <c r="I4" s="331"/>
      <c r="J4" s="331"/>
      <c r="K4" s="331"/>
      <c r="L4" s="331"/>
      <c r="M4" s="331"/>
      <c r="N4" s="331"/>
      <c r="O4" s="331"/>
      <c r="P4" s="331"/>
      <c r="Q4" s="331" t="s">
        <v>315</v>
      </c>
      <c r="R4" s="331"/>
    </row>
    <row r="5" spans="1:18" x14ac:dyDescent="0.25">
      <c r="A5" s="331"/>
      <c r="B5" s="342"/>
      <c r="C5" s="359"/>
      <c r="D5" s="343"/>
      <c r="E5" s="343"/>
      <c r="F5" s="343"/>
      <c r="G5" s="343"/>
      <c r="H5" s="343"/>
      <c r="I5" s="331"/>
      <c r="J5" s="331"/>
      <c r="K5" s="331"/>
      <c r="L5" s="331"/>
      <c r="M5" s="331"/>
      <c r="N5" s="331"/>
      <c r="O5" s="331"/>
      <c r="P5" s="331"/>
      <c r="Q5" s="331"/>
      <c r="R5" s="331"/>
    </row>
    <row r="6" spans="1:18" x14ac:dyDescent="0.25">
      <c r="A6" s="331"/>
      <c r="B6" s="344"/>
      <c r="C6" s="360"/>
      <c r="D6" s="341"/>
      <c r="E6" s="341"/>
      <c r="F6" s="341"/>
      <c r="G6" s="341"/>
      <c r="H6" s="345"/>
      <c r="I6" s="331"/>
      <c r="J6" s="331"/>
      <c r="K6" s="331"/>
      <c r="L6" s="331"/>
      <c r="M6" s="331"/>
      <c r="N6" s="331"/>
      <c r="O6" s="331"/>
      <c r="P6" s="331"/>
      <c r="Q6" s="331"/>
      <c r="R6" s="331"/>
    </row>
    <row r="7" spans="1:18" x14ac:dyDescent="0.25">
      <c r="A7" s="331"/>
      <c r="B7" s="346" t="s">
        <v>316</v>
      </c>
      <c r="C7" s="405" t="s">
        <v>716</v>
      </c>
      <c r="D7" s="343"/>
      <c r="E7" s="343"/>
      <c r="F7" s="343"/>
      <c r="G7" s="343"/>
      <c r="H7" s="347"/>
      <c r="I7" s="331"/>
      <c r="J7" s="331"/>
      <c r="K7" s="331"/>
      <c r="L7" s="331"/>
      <c r="M7" s="331"/>
      <c r="N7" s="331"/>
      <c r="O7" s="331"/>
      <c r="P7" s="331"/>
      <c r="Q7" s="331"/>
      <c r="R7" s="331"/>
    </row>
    <row r="8" spans="1:18" x14ac:dyDescent="0.25">
      <c r="A8" s="331"/>
      <c r="B8" s="346" t="s">
        <v>317</v>
      </c>
      <c r="C8" s="406">
        <v>15</v>
      </c>
      <c r="D8" s="343" t="s">
        <v>347</v>
      </c>
      <c r="E8" s="343"/>
      <c r="F8" s="342" t="s">
        <v>319</v>
      </c>
      <c r="G8" s="348">
        <f>C8*(C9-C10+0.5)</f>
        <v>23.999999999999993</v>
      </c>
      <c r="H8" s="347" t="s">
        <v>320</v>
      </c>
      <c r="I8" s="331"/>
      <c r="J8" s="331"/>
      <c r="K8" s="331"/>
      <c r="L8" s="331"/>
      <c r="M8" s="331"/>
      <c r="N8" s="331"/>
      <c r="O8" s="331"/>
      <c r="P8" s="331"/>
      <c r="Q8" s="331"/>
      <c r="R8" s="331"/>
    </row>
    <row r="9" spans="1:18" x14ac:dyDescent="0.25">
      <c r="A9" s="331"/>
      <c r="B9" s="346" t="s">
        <v>321</v>
      </c>
      <c r="C9" s="406">
        <v>7.6</v>
      </c>
      <c r="D9" s="343" t="s">
        <v>322</v>
      </c>
      <c r="E9" s="343"/>
      <c r="F9" s="342" t="s">
        <v>323</v>
      </c>
      <c r="G9" s="348">
        <f>IF(C7="moût",2,3)</f>
        <v>3</v>
      </c>
      <c r="H9" s="347" t="s">
        <v>320</v>
      </c>
      <c r="I9" s="331"/>
      <c r="J9" s="331"/>
      <c r="K9" s="331"/>
      <c r="L9" s="331"/>
      <c r="M9" s="331"/>
      <c r="N9" s="331"/>
      <c r="O9" s="331"/>
      <c r="P9" s="331"/>
      <c r="Q9" s="331"/>
      <c r="R9" s="331"/>
    </row>
    <row r="10" spans="1:18" x14ac:dyDescent="0.25">
      <c r="A10" s="331"/>
      <c r="B10" s="346" t="s">
        <v>324</v>
      </c>
      <c r="C10" s="406">
        <v>6.5</v>
      </c>
      <c r="D10" s="343" t="s">
        <v>282</v>
      </c>
      <c r="E10" s="343"/>
      <c r="F10" s="342" t="s">
        <v>325</v>
      </c>
      <c r="G10" s="348">
        <f>G8/(C9-G9)</f>
        <v>5.2173913043478253</v>
      </c>
      <c r="H10" s="347" t="s">
        <v>318</v>
      </c>
      <c r="I10" s="331"/>
      <c r="J10" s="331"/>
      <c r="K10" s="331"/>
      <c r="L10" s="331"/>
      <c r="M10" s="331"/>
      <c r="N10" s="331"/>
      <c r="O10" s="331"/>
      <c r="P10" s="331"/>
      <c r="Q10" s="331">
        <f>IF((C9-C10)&lt;0.5,1,0)</f>
        <v>0</v>
      </c>
      <c r="R10" s="331"/>
    </row>
    <row r="11" spans="1:18" ht="9" customHeight="1" x14ac:dyDescent="0.25">
      <c r="A11" s="331"/>
      <c r="B11" s="349"/>
      <c r="C11" s="361" t="str">
        <f>IF(Q12&gt;0,"Check de invoer gewenst zuur moet lager zijn als begin en niet verder te ontzuren dan tot 3,5 voor most en 2,5 voor wijn","")</f>
        <v/>
      </c>
      <c r="D11" s="343"/>
      <c r="E11" s="343"/>
      <c r="F11" s="343"/>
      <c r="G11" s="343"/>
      <c r="H11" s="347"/>
      <c r="I11" s="331"/>
      <c r="J11" s="331"/>
      <c r="K11" s="331"/>
      <c r="L11" s="331"/>
      <c r="M11" s="331"/>
      <c r="N11" s="331"/>
      <c r="O11" s="331"/>
      <c r="P11" s="331"/>
      <c r="Q11" s="331">
        <f>IF(C10&lt;(G9+0.5),1,0)</f>
        <v>0</v>
      </c>
      <c r="R11" s="331"/>
    </row>
    <row r="12" spans="1:18" x14ac:dyDescent="0.25">
      <c r="A12" s="331"/>
      <c r="B12" s="346" t="s">
        <v>326</v>
      </c>
      <c r="C12" s="362">
        <f>G8+0.5*C8</f>
        <v>31.499999999999993</v>
      </c>
      <c r="D12" s="343" t="s">
        <v>289</v>
      </c>
      <c r="E12" s="343"/>
      <c r="F12" s="343"/>
      <c r="G12" s="343"/>
      <c r="H12" s="347"/>
      <c r="I12" s="331"/>
      <c r="J12" s="331"/>
      <c r="K12" s="331"/>
      <c r="L12" s="331"/>
      <c r="M12" s="331"/>
      <c r="N12" s="331"/>
      <c r="O12" s="331"/>
      <c r="P12" s="331"/>
      <c r="Q12" s="331">
        <f>SUM(Q10:Q11)</f>
        <v>0</v>
      </c>
      <c r="R12" s="331"/>
    </row>
    <row r="13" spans="1:18" x14ac:dyDescent="0.25">
      <c r="A13" s="331"/>
      <c r="B13" s="346" t="s">
        <v>327</v>
      </c>
      <c r="C13" s="362">
        <f>G8*2*0.67</f>
        <v>32.159999999999989</v>
      </c>
      <c r="D13" s="343" t="s">
        <v>289</v>
      </c>
      <c r="E13" s="343"/>
      <c r="F13" s="343"/>
      <c r="G13" s="343"/>
      <c r="H13" s="347"/>
      <c r="I13" s="331"/>
      <c r="J13" s="331"/>
      <c r="K13" s="331"/>
      <c r="L13" s="331"/>
      <c r="M13" s="331"/>
      <c r="N13" s="331"/>
      <c r="O13" s="331"/>
      <c r="P13" s="331"/>
      <c r="Q13" s="331"/>
      <c r="R13" s="331"/>
    </row>
    <row r="14" spans="1:18" x14ac:dyDescent="0.25">
      <c r="A14" s="331"/>
      <c r="B14" s="346" t="s">
        <v>328</v>
      </c>
      <c r="C14" s="362">
        <f>G10*1.5</f>
        <v>7.8260869565217384</v>
      </c>
      <c r="D14" s="343" t="s">
        <v>329</v>
      </c>
      <c r="E14" s="343"/>
      <c r="F14" s="343"/>
      <c r="G14" s="343"/>
      <c r="H14" s="347"/>
      <c r="I14" s="331"/>
      <c r="J14" s="331"/>
      <c r="K14" s="331"/>
      <c r="L14" s="331"/>
      <c r="M14" s="331"/>
      <c r="N14" s="331"/>
      <c r="O14" s="331"/>
      <c r="P14" s="331"/>
      <c r="Q14" s="331"/>
      <c r="R14" s="331"/>
    </row>
    <row r="15" spans="1:18" ht="9" customHeight="1" x14ac:dyDescent="0.25">
      <c r="A15" s="331"/>
      <c r="B15" s="349"/>
      <c r="C15" s="359"/>
      <c r="D15" s="343"/>
      <c r="E15" s="343"/>
      <c r="F15" s="343"/>
      <c r="G15" s="343"/>
      <c r="H15" s="347"/>
      <c r="I15" s="331"/>
      <c r="J15" s="331"/>
      <c r="K15" s="331"/>
      <c r="L15" s="331"/>
      <c r="M15" s="331"/>
      <c r="N15" s="331"/>
      <c r="O15" s="331"/>
      <c r="P15" s="331"/>
      <c r="Q15" s="331"/>
      <c r="R15" s="331"/>
    </row>
    <row r="16" spans="1:18" x14ac:dyDescent="0.25">
      <c r="A16" s="331"/>
      <c r="B16" s="346" t="s">
        <v>330</v>
      </c>
      <c r="C16" s="362">
        <f>G10</f>
        <v>5.2173913043478253</v>
      </c>
      <c r="D16" s="343" t="s">
        <v>331</v>
      </c>
      <c r="E16" s="343"/>
      <c r="F16" s="343"/>
      <c r="G16" s="343"/>
      <c r="H16" s="347"/>
      <c r="I16" s="331"/>
      <c r="J16" s="331"/>
      <c r="K16" s="331"/>
      <c r="L16" s="331"/>
      <c r="M16" s="331"/>
      <c r="N16" s="331"/>
      <c r="O16" s="331"/>
      <c r="P16" s="331"/>
      <c r="Q16" s="331"/>
      <c r="R16" s="331"/>
    </row>
    <row r="17" spans="1:18" x14ac:dyDescent="0.25">
      <c r="A17" s="331"/>
      <c r="B17" s="346" t="s">
        <v>346</v>
      </c>
      <c r="C17" s="362">
        <f>G8</f>
        <v>23.999999999999993</v>
      </c>
      <c r="D17" s="343" t="s">
        <v>332</v>
      </c>
      <c r="E17" s="343"/>
      <c r="F17" s="343"/>
      <c r="G17" s="343"/>
      <c r="H17" s="347"/>
      <c r="I17" s="331"/>
      <c r="J17" s="331"/>
      <c r="K17" s="331"/>
      <c r="L17" s="331"/>
      <c r="M17" s="331"/>
      <c r="N17" s="331"/>
      <c r="O17" s="331"/>
      <c r="P17" s="331"/>
      <c r="Q17" s="331"/>
      <c r="R17" s="331"/>
    </row>
    <row r="18" spans="1:18" x14ac:dyDescent="0.25">
      <c r="A18" s="331"/>
      <c r="B18" s="349" t="s">
        <v>333</v>
      </c>
      <c r="C18" s="359"/>
      <c r="D18" s="343"/>
      <c r="E18" s="343"/>
      <c r="F18" s="343"/>
      <c r="G18" s="343"/>
      <c r="H18" s="347"/>
      <c r="I18" s="331"/>
      <c r="J18" s="331"/>
      <c r="K18" s="331"/>
      <c r="L18" s="331"/>
      <c r="M18" s="331"/>
      <c r="N18" s="331"/>
      <c r="O18" s="331"/>
      <c r="P18" s="331"/>
      <c r="Q18" s="331"/>
      <c r="R18" s="331"/>
    </row>
    <row r="19" spans="1:18" x14ac:dyDescent="0.25">
      <c r="A19" s="331"/>
      <c r="B19" s="346" t="s">
        <v>334</v>
      </c>
      <c r="C19" s="362">
        <f>C13</f>
        <v>32.159999999999989</v>
      </c>
      <c r="D19" s="343" t="s">
        <v>335</v>
      </c>
      <c r="E19" s="343"/>
      <c r="F19" s="343"/>
      <c r="G19" s="343"/>
      <c r="H19" s="347"/>
      <c r="I19" s="331"/>
      <c r="J19" s="331"/>
      <c r="K19" s="331"/>
      <c r="L19" s="331"/>
      <c r="M19" s="331"/>
      <c r="N19" s="331"/>
      <c r="O19" s="331"/>
      <c r="P19" s="331"/>
      <c r="Q19" s="331"/>
      <c r="R19" s="331"/>
    </row>
    <row r="20" spans="1:18" x14ac:dyDescent="0.25">
      <c r="A20" s="331"/>
      <c r="B20" s="349" t="s">
        <v>336</v>
      </c>
      <c r="C20" s="359"/>
      <c r="D20" s="343"/>
      <c r="E20" s="343"/>
      <c r="F20" s="343"/>
      <c r="G20" s="343"/>
      <c r="H20" s="347"/>
      <c r="I20" s="331"/>
      <c r="J20" s="331"/>
      <c r="K20" s="331"/>
      <c r="L20" s="331"/>
      <c r="M20" s="331"/>
      <c r="N20" s="331"/>
      <c r="O20" s="331"/>
      <c r="P20" s="331"/>
      <c r="Q20" s="331"/>
      <c r="R20" s="331"/>
    </row>
    <row r="21" spans="1:18" x14ac:dyDescent="0.25">
      <c r="A21" s="331"/>
      <c r="B21" s="349" t="s">
        <v>337</v>
      </c>
      <c r="C21" s="359"/>
      <c r="D21" s="343"/>
      <c r="E21" s="343"/>
      <c r="F21" s="343"/>
      <c r="G21" s="343"/>
      <c r="H21" s="347"/>
      <c r="I21" s="331"/>
      <c r="J21" s="331"/>
      <c r="K21" s="331"/>
      <c r="L21" s="331"/>
      <c r="M21" s="331"/>
      <c r="N21" s="331"/>
      <c r="O21" s="331"/>
      <c r="P21" s="331"/>
      <c r="Q21" s="331"/>
      <c r="R21" s="331"/>
    </row>
    <row r="22" spans="1:18" x14ac:dyDescent="0.25">
      <c r="A22" s="331"/>
      <c r="B22" s="349" t="s">
        <v>338</v>
      </c>
      <c r="C22" s="359"/>
      <c r="D22" s="343"/>
      <c r="E22" s="343"/>
      <c r="F22" s="343"/>
      <c r="G22" s="343"/>
      <c r="H22" s="347"/>
      <c r="I22" s="331"/>
      <c r="J22" s="331"/>
      <c r="K22" s="331"/>
      <c r="L22" s="331"/>
      <c r="M22" s="331"/>
      <c r="N22" s="331"/>
      <c r="O22" s="331"/>
      <c r="P22" s="331"/>
      <c r="Q22" s="331"/>
      <c r="R22" s="331"/>
    </row>
    <row r="23" spans="1:18" x14ac:dyDescent="0.25">
      <c r="A23" s="331"/>
      <c r="B23" s="346" t="s">
        <v>339</v>
      </c>
      <c r="C23" s="362">
        <f>C16</f>
        <v>5.2173913043478253</v>
      </c>
      <c r="D23" s="343" t="s">
        <v>340</v>
      </c>
      <c r="E23" s="343"/>
      <c r="F23" s="343"/>
      <c r="G23" s="343"/>
      <c r="H23" s="347"/>
      <c r="I23" s="331"/>
      <c r="J23" s="331"/>
      <c r="K23" s="331"/>
      <c r="L23" s="331"/>
      <c r="M23" s="331"/>
      <c r="N23" s="331"/>
      <c r="O23" s="331"/>
      <c r="P23" s="331"/>
      <c r="Q23" s="331"/>
      <c r="R23" s="331"/>
    </row>
    <row r="24" spans="1:18" x14ac:dyDescent="0.25">
      <c r="A24" s="331"/>
      <c r="B24" s="349" t="s">
        <v>341</v>
      </c>
      <c r="C24" s="359"/>
      <c r="D24" s="343"/>
      <c r="E24" s="343"/>
      <c r="F24" s="343"/>
      <c r="G24" s="343"/>
      <c r="H24" s="347"/>
      <c r="I24" s="331"/>
      <c r="J24" s="331"/>
      <c r="K24" s="331"/>
      <c r="L24" s="331"/>
      <c r="M24" s="331"/>
      <c r="N24" s="331"/>
      <c r="O24" s="331"/>
      <c r="P24" s="331"/>
      <c r="Q24" s="331"/>
      <c r="R24" s="331"/>
    </row>
    <row r="25" spans="1:18" x14ac:dyDescent="0.25">
      <c r="A25" s="331"/>
      <c r="B25" s="349" t="s">
        <v>348</v>
      </c>
      <c r="C25" s="359"/>
      <c r="D25" s="343"/>
      <c r="E25" s="343"/>
      <c r="F25" s="343"/>
      <c r="G25" s="343"/>
      <c r="H25" s="347"/>
      <c r="I25" s="331"/>
      <c r="J25" s="331"/>
      <c r="K25" s="331"/>
      <c r="L25" s="331"/>
      <c r="M25" s="331"/>
      <c r="N25" s="331"/>
      <c r="O25" s="331"/>
      <c r="P25" s="331"/>
      <c r="Q25" s="331"/>
      <c r="R25" s="331"/>
    </row>
    <row r="26" spans="1:18" x14ac:dyDescent="0.25">
      <c r="A26" s="331"/>
      <c r="B26" s="349" t="s">
        <v>349</v>
      </c>
      <c r="C26" s="359"/>
      <c r="D26" s="343"/>
      <c r="E26" s="343"/>
      <c r="F26" s="343"/>
      <c r="G26" s="343"/>
      <c r="H26" s="347"/>
      <c r="I26" s="331"/>
      <c r="J26" s="331"/>
      <c r="K26" s="331"/>
      <c r="L26" s="331"/>
      <c r="M26" s="331"/>
      <c r="N26" s="331"/>
      <c r="O26" s="331"/>
      <c r="P26" s="331"/>
      <c r="Q26" s="331"/>
      <c r="R26" s="331"/>
    </row>
    <row r="27" spans="1:18" x14ac:dyDescent="0.25">
      <c r="A27" s="331"/>
      <c r="B27" s="349" t="s">
        <v>350</v>
      </c>
      <c r="C27" s="359"/>
      <c r="D27" s="343"/>
      <c r="E27" s="343"/>
      <c r="F27" s="343"/>
      <c r="G27" s="343"/>
      <c r="H27" s="347"/>
      <c r="I27" s="331"/>
      <c r="J27" s="331"/>
      <c r="K27" s="331"/>
      <c r="L27" s="331"/>
      <c r="M27" s="331"/>
      <c r="N27" s="331"/>
      <c r="O27" s="331"/>
      <c r="P27" s="331"/>
      <c r="Q27" s="331"/>
      <c r="R27" s="331"/>
    </row>
    <row r="28" spans="1:18" x14ac:dyDescent="0.25">
      <c r="A28" s="331"/>
      <c r="B28" s="349" t="s">
        <v>342</v>
      </c>
      <c r="C28" s="362">
        <f>C8*0.5</f>
        <v>7.5</v>
      </c>
      <c r="D28" s="343" t="s">
        <v>351</v>
      </c>
      <c r="E28" s="343"/>
      <c r="F28" s="343"/>
      <c r="G28" s="343"/>
      <c r="H28" s="347"/>
      <c r="I28" s="331"/>
      <c r="J28" s="331"/>
      <c r="K28" s="331"/>
      <c r="L28" s="331"/>
      <c r="M28" s="331"/>
      <c r="N28" s="331"/>
      <c r="O28" s="331"/>
      <c r="P28" s="331"/>
      <c r="Q28" s="331"/>
      <c r="R28" s="331"/>
    </row>
    <row r="29" spans="1:18" x14ac:dyDescent="0.25">
      <c r="A29" s="331"/>
      <c r="B29" s="349" t="s">
        <v>343</v>
      </c>
      <c r="C29" s="359"/>
      <c r="D29" s="343"/>
      <c r="E29" s="343"/>
      <c r="F29" s="343"/>
      <c r="G29" s="343"/>
      <c r="H29" s="347"/>
      <c r="I29" s="331"/>
      <c r="J29" s="331"/>
      <c r="K29" s="331"/>
      <c r="L29" s="331"/>
      <c r="M29" s="331"/>
      <c r="N29" s="331"/>
      <c r="O29" s="331"/>
      <c r="P29" s="331"/>
      <c r="Q29" s="331"/>
      <c r="R29" s="331"/>
    </row>
    <row r="30" spans="1:18" x14ac:dyDescent="0.25">
      <c r="A30" s="331"/>
      <c r="B30" s="350" t="s">
        <v>344</v>
      </c>
      <c r="C30" s="363"/>
      <c r="D30" s="351"/>
      <c r="E30" s="351"/>
      <c r="F30" s="351"/>
      <c r="G30" s="351"/>
      <c r="H30" s="352"/>
      <c r="I30" s="331"/>
      <c r="J30" s="331"/>
      <c r="K30" s="331"/>
      <c r="L30" s="331"/>
      <c r="M30" s="331"/>
      <c r="N30" s="331"/>
      <c r="O30" s="331"/>
      <c r="P30" s="331"/>
      <c r="Q30" s="331"/>
      <c r="R30" s="331"/>
    </row>
    <row r="31" spans="1:18" ht="9" customHeight="1" x14ac:dyDescent="0.25">
      <c r="A31" s="331"/>
      <c r="B31" s="343"/>
      <c r="C31" s="359"/>
      <c r="D31" s="343"/>
      <c r="E31" s="343"/>
      <c r="F31" s="343"/>
      <c r="G31" s="343"/>
      <c r="H31" s="343"/>
      <c r="I31" s="331"/>
      <c r="J31" s="331"/>
      <c r="K31" s="331"/>
      <c r="L31" s="331"/>
      <c r="M31" s="331"/>
      <c r="N31" s="331"/>
      <c r="O31" s="331"/>
      <c r="P31" s="331"/>
      <c r="Q31" s="331"/>
      <c r="R31" s="331"/>
    </row>
    <row r="32" spans="1:18" x14ac:dyDescent="0.25">
      <c r="A32" s="331"/>
      <c r="B32" s="377" t="s">
        <v>345</v>
      </c>
      <c r="C32" s="364"/>
      <c r="D32" s="353"/>
      <c r="E32" s="353"/>
      <c r="F32" s="353"/>
      <c r="G32" s="353"/>
      <c r="H32" s="354"/>
      <c r="I32" s="331"/>
      <c r="J32" s="331"/>
      <c r="K32" s="331"/>
      <c r="L32" s="331"/>
      <c r="M32" s="331"/>
      <c r="N32" s="331"/>
      <c r="O32" s="331"/>
      <c r="P32" s="331"/>
      <c r="Q32" s="331"/>
      <c r="R32" s="331"/>
    </row>
    <row r="33" spans="1:18" x14ac:dyDescent="0.25">
      <c r="A33" s="331"/>
      <c r="B33" s="331"/>
      <c r="C33" s="355"/>
      <c r="D33" s="331"/>
      <c r="E33" s="331"/>
      <c r="F33" s="331"/>
      <c r="G33" s="331"/>
      <c r="H33" s="331"/>
      <c r="I33" s="331"/>
      <c r="J33" s="331"/>
      <c r="K33" s="331"/>
      <c r="L33" s="331"/>
      <c r="M33" s="331"/>
      <c r="N33" s="331"/>
      <c r="O33" s="331"/>
      <c r="P33" s="331"/>
      <c r="Q33" s="331"/>
      <c r="R33" s="331"/>
    </row>
    <row r="34" spans="1:18" x14ac:dyDescent="0.25">
      <c r="A34" s="331"/>
      <c r="B34" s="331"/>
      <c r="C34" s="355"/>
      <c r="D34" s="331"/>
      <c r="E34" s="331"/>
      <c r="F34" s="331"/>
      <c r="G34" s="331"/>
      <c r="H34" s="331"/>
      <c r="I34" s="331"/>
      <c r="J34" s="331"/>
      <c r="K34" s="331"/>
      <c r="L34" s="331"/>
      <c r="M34" s="331"/>
      <c r="N34" s="331"/>
      <c r="O34" s="331"/>
      <c r="P34" s="331"/>
      <c r="Q34" s="331"/>
      <c r="R34" s="331"/>
    </row>
  </sheetData>
  <sheetProtection password="CC70" sheet="1" objects="1" scenarios="1"/>
  <dataValidations count="1">
    <dataValidation type="list" allowBlank="1" showErrorMessage="1" sqref="C7">
      <formula1>$Q$2:$Q$4</formula1>
    </dataValidation>
  </dataValidations>
  <pageMargins left="0.23622047244094491" right="0.23622047244094491" top="0.74803149606299213" bottom="0.74803149606299213" header="0.31496062992125984" footer="0.31496062992125984"/>
  <pageSetup paperSize="9" orientation="landscape" horizontalDpi="4294967294" verticalDpi="0" r:id="rId1"/>
  <headerFooter>
    <oddFooter>&amp;C&amp;F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G4" sqref="G4:G14"/>
    </sheetView>
  </sheetViews>
  <sheetFormatPr baseColWidth="10" defaultRowHeight="15" x14ac:dyDescent="0.25"/>
  <cols>
    <col min="3" max="3" width="10.7109375" customWidth="1"/>
    <col min="4" max="4" width="2.28515625" customWidth="1"/>
    <col min="5" max="5" width="5.5703125" customWidth="1"/>
    <col min="6" max="6" width="6.5703125" customWidth="1"/>
    <col min="7" max="7" width="6.42578125" customWidth="1"/>
    <col min="8" max="8" width="2.7109375" style="99" customWidth="1"/>
    <col min="9" max="9" width="5.42578125" style="239" customWidth="1"/>
    <col min="10" max="10" width="6.85546875" customWidth="1"/>
    <col min="11" max="11" width="3.140625" style="99" customWidth="1"/>
    <col min="12" max="12" width="5.28515625" style="239" customWidth="1"/>
    <col min="13" max="13" width="7" customWidth="1"/>
    <col min="14" max="14" width="2.7109375" customWidth="1"/>
  </cols>
  <sheetData>
    <row r="1" spans="1:13" x14ac:dyDescent="0.25">
      <c r="A1" t="s">
        <v>357</v>
      </c>
    </row>
    <row r="3" spans="1:13" x14ac:dyDescent="0.25">
      <c r="F3" s="365" t="s">
        <v>208</v>
      </c>
      <c r="G3" s="135" t="s">
        <v>356</v>
      </c>
      <c r="H3" s="142"/>
      <c r="I3" s="367" t="s">
        <v>354</v>
      </c>
      <c r="J3" s="135" t="s">
        <v>356</v>
      </c>
      <c r="K3" s="142"/>
      <c r="L3" s="369" t="s">
        <v>355</v>
      </c>
      <c r="M3" s="135" t="s">
        <v>356</v>
      </c>
    </row>
    <row r="4" spans="1:13" x14ac:dyDescent="0.25">
      <c r="F4" s="149">
        <v>0.5</v>
      </c>
      <c r="G4" s="375">
        <v>28</v>
      </c>
      <c r="H4" s="371"/>
      <c r="I4" s="149">
        <v>0.5</v>
      </c>
      <c r="J4" s="368">
        <v>34</v>
      </c>
      <c r="K4" s="371"/>
      <c r="L4" s="149">
        <v>0.5</v>
      </c>
      <c r="M4" s="370"/>
    </row>
    <row r="5" spans="1:13" x14ac:dyDescent="0.25">
      <c r="F5" s="149">
        <v>1</v>
      </c>
      <c r="G5" s="375">
        <v>26</v>
      </c>
      <c r="H5" s="371"/>
      <c r="I5" s="149">
        <v>1</v>
      </c>
      <c r="J5" s="368">
        <v>32.5</v>
      </c>
      <c r="K5" s="371"/>
      <c r="L5" s="149">
        <v>1</v>
      </c>
      <c r="M5" s="370"/>
    </row>
    <row r="6" spans="1:13" ht="15.75" customHeight="1" x14ac:dyDescent="0.3">
      <c r="C6" s="373">
        <v>0</v>
      </c>
      <c r="D6" s="372" t="s">
        <v>356</v>
      </c>
      <c r="F6" s="149">
        <v>1.5</v>
      </c>
      <c r="G6" s="375">
        <v>24</v>
      </c>
      <c r="H6" s="371"/>
      <c r="I6" s="149">
        <v>1.5</v>
      </c>
      <c r="J6" s="368">
        <v>31.5</v>
      </c>
      <c r="K6" s="371"/>
      <c r="L6" s="149">
        <v>1.5</v>
      </c>
      <c r="M6" s="370"/>
    </row>
    <row r="7" spans="1:13" x14ac:dyDescent="0.25">
      <c r="F7" s="149">
        <v>2</v>
      </c>
      <c r="G7" s="375">
        <v>22.5</v>
      </c>
      <c r="H7" s="371"/>
      <c r="I7" s="149">
        <v>2</v>
      </c>
      <c r="J7" s="368">
        <v>30.5</v>
      </c>
      <c r="K7" s="371"/>
      <c r="L7" s="149">
        <v>2</v>
      </c>
      <c r="M7" s="370"/>
    </row>
    <row r="8" spans="1:13" x14ac:dyDescent="0.25">
      <c r="F8" s="149">
        <v>2.5</v>
      </c>
      <c r="G8" s="375">
        <v>20</v>
      </c>
      <c r="H8" s="371"/>
      <c r="I8" s="149">
        <v>2.5</v>
      </c>
      <c r="J8" s="368">
        <v>29</v>
      </c>
      <c r="K8" s="371"/>
      <c r="L8" s="149">
        <v>2.5</v>
      </c>
      <c r="M8" s="370"/>
    </row>
    <row r="9" spans="1:13" x14ac:dyDescent="0.25">
      <c r="F9" s="149">
        <v>3</v>
      </c>
      <c r="G9" s="375">
        <v>19</v>
      </c>
      <c r="H9" s="371"/>
      <c r="I9" s="149">
        <v>3</v>
      </c>
      <c r="J9" s="368">
        <v>28.8</v>
      </c>
      <c r="K9" s="371"/>
      <c r="L9" s="149">
        <v>3</v>
      </c>
      <c r="M9" s="370"/>
    </row>
    <row r="10" spans="1:13" x14ac:dyDescent="0.25">
      <c r="F10" s="149">
        <v>3.5</v>
      </c>
      <c r="G10" s="375">
        <v>17.5</v>
      </c>
      <c r="H10" s="371"/>
      <c r="I10" s="149">
        <v>3.5</v>
      </c>
      <c r="J10" s="368">
        <v>27.8</v>
      </c>
      <c r="K10" s="371"/>
      <c r="L10" s="149">
        <v>3.5</v>
      </c>
      <c r="M10" s="370"/>
    </row>
    <row r="11" spans="1:13" x14ac:dyDescent="0.25">
      <c r="F11" s="149">
        <v>4</v>
      </c>
      <c r="G11" s="375">
        <v>16</v>
      </c>
      <c r="H11" s="371"/>
      <c r="I11" s="149">
        <v>4</v>
      </c>
      <c r="J11" s="368">
        <v>27</v>
      </c>
      <c r="K11" s="371"/>
      <c r="L11" s="149">
        <v>4</v>
      </c>
      <c r="M11" s="370"/>
    </row>
    <row r="12" spans="1:13" x14ac:dyDescent="0.25">
      <c r="F12" s="149">
        <v>4.5</v>
      </c>
      <c r="G12" s="375">
        <v>14.5</v>
      </c>
      <c r="H12" s="371"/>
      <c r="I12" s="149">
        <v>4.5</v>
      </c>
      <c r="J12" s="368">
        <v>26</v>
      </c>
      <c r="K12" s="371"/>
      <c r="L12" s="149">
        <v>4.5</v>
      </c>
      <c r="M12" s="370"/>
    </row>
    <row r="13" spans="1:13" x14ac:dyDescent="0.25">
      <c r="F13" s="149">
        <v>5</v>
      </c>
      <c r="G13" s="375">
        <v>13</v>
      </c>
      <c r="H13" s="371"/>
      <c r="I13" s="149">
        <v>5</v>
      </c>
      <c r="J13" s="368">
        <v>25</v>
      </c>
      <c r="K13" s="371"/>
      <c r="L13" s="149">
        <v>5</v>
      </c>
      <c r="M13" s="370"/>
    </row>
    <row r="14" spans="1:13" x14ac:dyDescent="0.25">
      <c r="F14" s="149">
        <v>5.5</v>
      </c>
      <c r="G14" s="375">
        <v>10</v>
      </c>
      <c r="H14" s="371"/>
      <c r="I14" s="149">
        <v>5.5</v>
      </c>
      <c r="J14" s="368">
        <v>24.4</v>
      </c>
      <c r="K14" s="371"/>
      <c r="L14" s="149">
        <v>5.5</v>
      </c>
      <c r="M14" s="370"/>
    </row>
    <row r="15" spans="1:13" x14ac:dyDescent="0.25">
      <c r="F15" s="149">
        <v>6</v>
      </c>
      <c r="G15" s="366"/>
      <c r="H15" s="371"/>
      <c r="I15" s="149">
        <v>6</v>
      </c>
      <c r="J15" s="368">
        <v>23.3</v>
      </c>
      <c r="K15" s="371"/>
      <c r="L15" s="149">
        <v>6</v>
      </c>
      <c r="M15" s="370"/>
    </row>
    <row r="16" spans="1:13" x14ac:dyDescent="0.25">
      <c r="F16" s="149"/>
      <c r="G16" s="366"/>
      <c r="H16" s="371"/>
      <c r="I16" s="149">
        <v>6.5</v>
      </c>
      <c r="J16" s="368">
        <v>22.5</v>
      </c>
      <c r="K16" s="371"/>
      <c r="L16" s="149">
        <v>6.5</v>
      </c>
      <c r="M16" s="370"/>
    </row>
    <row r="17" spans="5:13" x14ac:dyDescent="0.25">
      <c r="F17" s="149"/>
      <c r="G17" s="366"/>
      <c r="H17" s="371"/>
      <c r="I17" s="149">
        <v>7</v>
      </c>
      <c r="J17" s="368">
        <v>21.5</v>
      </c>
      <c r="K17" s="371"/>
      <c r="L17" s="149">
        <v>7</v>
      </c>
      <c r="M17" s="370"/>
    </row>
    <row r="18" spans="5:13" x14ac:dyDescent="0.25">
      <c r="F18" s="149"/>
      <c r="G18" s="366"/>
      <c r="H18" s="371"/>
      <c r="I18" s="149">
        <v>7.5</v>
      </c>
      <c r="J18" s="368">
        <v>21</v>
      </c>
      <c r="K18" s="371"/>
      <c r="L18" s="149">
        <v>7.5</v>
      </c>
      <c r="M18" s="370"/>
    </row>
    <row r="19" spans="5:13" ht="16.5" customHeight="1" x14ac:dyDescent="0.25">
      <c r="F19" s="149"/>
      <c r="G19" s="366"/>
      <c r="H19" s="371"/>
      <c r="I19" s="149">
        <v>8</v>
      </c>
      <c r="J19" s="368">
        <v>20</v>
      </c>
      <c r="K19" s="371"/>
      <c r="L19" s="149">
        <v>8</v>
      </c>
      <c r="M19" s="370"/>
    </row>
    <row r="20" spans="5:13" x14ac:dyDescent="0.25">
      <c r="F20" s="149"/>
      <c r="G20" s="366"/>
      <c r="H20" s="371"/>
      <c r="I20" s="149">
        <v>8.5</v>
      </c>
      <c r="J20" s="368">
        <v>19</v>
      </c>
      <c r="K20" s="371"/>
      <c r="L20" s="149">
        <v>8.5</v>
      </c>
      <c r="M20" s="370"/>
    </row>
    <row r="21" spans="5:13" x14ac:dyDescent="0.25">
      <c r="E21" s="99"/>
      <c r="F21" s="99"/>
      <c r="G21" s="99"/>
      <c r="I21" s="149">
        <v>9</v>
      </c>
      <c r="J21" s="368">
        <v>17</v>
      </c>
      <c r="K21" s="371"/>
      <c r="L21" s="149">
        <v>9</v>
      </c>
      <c r="M21" s="370"/>
    </row>
    <row r="22" spans="5:13" x14ac:dyDescent="0.25">
      <c r="E22" s="99"/>
      <c r="F22" s="99"/>
      <c r="G22" s="99"/>
      <c r="I22" s="149">
        <v>9.5</v>
      </c>
      <c r="J22" s="368">
        <v>15.7</v>
      </c>
      <c r="K22" s="371"/>
      <c r="L22" s="149">
        <v>9.5</v>
      </c>
      <c r="M22" s="370"/>
    </row>
    <row r="23" spans="5:13" x14ac:dyDescent="0.25">
      <c r="E23" s="99"/>
      <c r="F23" s="99"/>
      <c r="G23" s="99"/>
      <c r="I23" s="149">
        <v>10</v>
      </c>
      <c r="J23" s="368">
        <v>14.5</v>
      </c>
      <c r="K23" s="371"/>
      <c r="L23" s="149">
        <v>10</v>
      </c>
      <c r="M23" s="370"/>
    </row>
    <row r="24" spans="5:13" x14ac:dyDescent="0.25">
      <c r="E24" s="99"/>
      <c r="F24" s="99"/>
      <c r="G24" s="99"/>
      <c r="I24" s="149">
        <v>10.5</v>
      </c>
      <c r="J24" s="368">
        <v>12.2</v>
      </c>
      <c r="K24" s="371"/>
      <c r="L24" s="149">
        <v>10.5</v>
      </c>
      <c r="M24" s="370"/>
    </row>
    <row r="25" spans="5:13" x14ac:dyDescent="0.25">
      <c r="E25" s="99"/>
      <c r="F25" s="99"/>
      <c r="G25" s="99"/>
      <c r="I25" s="149">
        <v>11</v>
      </c>
      <c r="J25" s="368">
        <v>2</v>
      </c>
      <c r="K25" s="371"/>
      <c r="L25" s="149">
        <v>11</v>
      </c>
      <c r="M25" s="370"/>
    </row>
    <row r="26" spans="5:13" x14ac:dyDescent="0.25">
      <c r="E26" s="99"/>
      <c r="F26" s="99"/>
      <c r="G26" s="99"/>
      <c r="I26" s="149">
        <v>11.5</v>
      </c>
      <c r="J26" s="368"/>
      <c r="K26" s="371"/>
      <c r="L26" s="149">
        <v>11.5</v>
      </c>
      <c r="M26" s="370"/>
    </row>
    <row r="27" spans="5:13" x14ac:dyDescent="0.25">
      <c r="E27" s="99"/>
      <c r="F27" s="99"/>
      <c r="G27" s="99"/>
      <c r="I27" s="149"/>
      <c r="J27" s="368"/>
      <c r="K27" s="371"/>
      <c r="L27" s="149">
        <v>12</v>
      </c>
      <c r="M27" s="370"/>
    </row>
    <row r="28" spans="5:13" x14ac:dyDescent="0.25">
      <c r="E28" s="99"/>
      <c r="F28" s="99"/>
      <c r="G28" s="99"/>
      <c r="I28" s="99"/>
      <c r="J28" s="99"/>
      <c r="K28" s="374"/>
      <c r="L28" s="149">
        <v>12.5</v>
      </c>
      <c r="M28" s="370"/>
    </row>
    <row r="29" spans="5:13" x14ac:dyDescent="0.25">
      <c r="E29" s="99"/>
      <c r="F29" s="99"/>
      <c r="G29" s="99"/>
      <c r="I29" s="99"/>
      <c r="J29" s="99"/>
      <c r="K29" s="374"/>
      <c r="L29" s="149">
        <v>13</v>
      </c>
      <c r="M29" s="370"/>
    </row>
    <row r="30" spans="5:13" x14ac:dyDescent="0.25">
      <c r="E30" s="99"/>
      <c r="F30" s="99"/>
      <c r="G30" s="99"/>
      <c r="I30" s="99"/>
      <c r="J30" s="99"/>
      <c r="K30" s="374"/>
      <c r="L30" s="149">
        <v>13.5</v>
      </c>
      <c r="M30" s="370"/>
    </row>
    <row r="31" spans="5:13" x14ac:dyDescent="0.25">
      <c r="E31" s="99"/>
      <c r="F31" s="99"/>
      <c r="G31" s="99"/>
      <c r="I31" s="99"/>
      <c r="J31" s="99"/>
      <c r="K31" s="374"/>
      <c r="L31" s="149">
        <v>14</v>
      </c>
      <c r="M31" s="370"/>
    </row>
    <row r="32" spans="5:13" x14ac:dyDescent="0.25">
      <c r="E32" s="99"/>
      <c r="F32" s="99"/>
      <c r="G32" s="99"/>
      <c r="I32" s="99"/>
      <c r="J32" s="99"/>
      <c r="K32" s="374"/>
      <c r="L32" s="149">
        <v>14.5</v>
      </c>
      <c r="M32" s="370"/>
    </row>
    <row r="33" spans="5:13" x14ac:dyDescent="0.25">
      <c r="E33" s="99"/>
      <c r="F33" s="99"/>
      <c r="G33" s="99"/>
      <c r="I33" s="99"/>
      <c r="J33" s="99"/>
      <c r="K33" s="374"/>
      <c r="L33" s="149">
        <v>15</v>
      </c>
      <c r="M33" s="370"/>
    </row>
    <row r="34" spans="5:13" x14ac:dyDescent="0.25">
      <c r="E34" s="99"/>
      <c r="F34" s="99"/>
      <c r="G34" s="99"/>
      <c r="I34" s="99"/>
      <c r="J34" s="99"/>
      <c r="K34" s="374"/>
      <c r="L34" s="149">
        <v>15.5</v>
      </c>
      <c r="M34" s="370"/>
    </row>
    <row r="35" spans="5:13" x14ac:dyDescent="0.25">
      <c r="E35" s="99"/>
      <c r="F35" s="99"/>
      <c r="G35" s="99"/>
      <c r="I35" s="99"/>
      <c r="J35" s="99"/>
      <c r="K35" s="374"/>
      <c r="L35" s="149">
        <v>16</v>
      </c>
      <c r="M35" s="370"/>
    </row>
    <row r="36" spans="5:13" x14ac:dyDescent="0.25">
      <c r="E36" s="99"/>
      <c r="F36" s="99"/>
      <c r="G36" s="99"/>
      <c r="I36" s="99"/>
      <c r="J36" s="99"/>
      <c r="K36" s="374"/>
      <c r="L36" s="149">
        <v>16.5</v>
      </c>
      <c r="M36" s="370"/>
    </row>
    <row r="37" spans="5:13" x14ac:dyDescent="0.25">
      <c r="E37" s="99"/>
      <c r="F37" s="99"/>
      <c r="G37" s="99"/>
      <c r="I37" s="99"/>
      <c r="J37" s="99"/>
      <c r="K37" s="374"/>
      <c r="L37" s="149">
        <v>17</v>
      </c>
      <c r="M37" s="370"/>
    </row>
    <row r="38" spans="5:13" x14ac:dyDescent="0.25">
      <c r="E38" s="99"/>
      <c r="F38" s="99"/>
      <c r="G38" s="99"/>
      <c r="I38" s="99"/>
      <c r="J38" s="99"/>
      <c r="L38" s="99"/>
      <c r="M38" s="99"/>
    </row>
    <row r="39" spans="5:13" x14ac:dyDescent="0.25">
      <c r="E39" s="99"/>
      <c r="F39" s="99"/>
      <c r="G39" s="99"/>
      <c r="I39" s="99"/>
      <c r="J39" s="99"/>
      <c r="L39" s="99"/>
      <c r="M39" s="99"/>
    </row>
    <row r="40" spans="5:13" x14ac:dyDescent="0.25">
      <c r="E40" s="99"/>
      <c r="F40" s="99"/>
      <c r="G40" s="99"/>
      <c r="I40" s="99"/>
      <c r="J40" s="99"/>
      <c r="L40" s="99"/>
      <c r="M40" s="99"/>
    </row>
    <row r="41" spans="5:13" x14ac:dyDescent="0.25">
      <c r="E41" s="99"/>
      <c r="F41" s="99"/>
      <c r="G41" s="99"/>
      <c r="I41" s="99"/>
      <c r="J41" s="99"/>
      <c r="L41" s="99"/>
      <c r="M41" s="99"/>
    </row>
    <row r="42" spans="5:13" x14ac:dyDescent="0.25">
      <c r="E42" s="99"/>
      <c r="F42" s="99"/>
      <c r="G42" s="99"/>
      <c r="I42" s="99"/>
      <c r="J42" s="99"/>
      <c r="L42" s="99"/>
      <c r="M42" s="99"/>
    </row>
    <row r="43" spans="5:13" x14ac:dyDescent="0.25">
      <c r="E43" s="99"/>
      <c r="F43" s="99"/>
      <c r="G43" s="99"/>
      <c r="I43" s="99"/>
      <c r="J43" s="99"/>
      <c r="L43" s="99"/>
      <c r="M43" s="99"/>
    </row>
    <row r="44" spans="5:13" x14ac:dyDescent="0.25">
      <c r="E44" s="99"/>
      <c r="F44" s="99"/>
      <c r="G44" s="99"/>
      <c r="I44" s="99"/>
      <c r="J44" s="99"/>
      <c r="L44" s="99"/>
      <c r="M44" s="99"/>
    </row>
    <row r="45" spans="5:13" x14ac:dyDescent="0.25">
      <c r="E45" s="99"/>
      <c r="F45" s="99"/>
      <c r="G45" s="99"/>
      <c r="I45" s="99"/>
      <c r="J45" s="99"/>
      <c r="L45" s="99"/>
      <c r="M45" s="99"/>
    </row>
    <row r="46" spans="5:13" x14ac:dyDescent="0.25">
      <c r="L46" s="99"/>
      <c r="M46" s="99"/>
    </row>
  </sheetData>
  <sheetProtection password="CC70" sheet="1" objects="1" scenarios="1"/>
  <pageMargins left="0.7" right="0.7" top="0.75" bottom="0.75" header="0.3" footer="0.3"/>
  <pageSetup paperSize="9" orientation="portrait" horizontalDpi="4294967294"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topLeftCell="A19" workbookViewId="0">
      <selection activeCell="C34" sqref="C34"/>
    </sheetView>
  </sheetViews>
  <sheetFormatPr baseColWidth="10" defaultRowHeight="15" x14ac:dyDescent="0.25"/>
  <cols>
    <col min="1" max="1" width="29.7109375" customWidth="1"/>
    <col min="3" max="3" width="20.42578125" style="211" customWidth="1"/>
  </cols>
  <sheetData>
    <row r="1" spans="1:4" ht="21" x14ac:dyDescent="0.35">
      <c r="B1" s="464" t="s">
        <v>443</v>
      </c>
    </row>
    <row r="2" spans="1:4" ht="7.5" customHeight="1" x14ac:dyDescent="0.25"/>
    <row r="3" spans="1:4" x14ac:dyDescent="0.25">
      <c r="A3" s="463" t="s">
        <v>412</v>
      </c>
    </row>
    <row r="4" spans="1:4" x14ac:dyDescent="0.25">
      <c r="B4" s="461" t="s">
        <v>411</v>
      </c>
      <c r="C4"/>
      <c r="D4" s="211">
        <v>1</v>
      </c>
    </row>
    <row r="5" spans="1:4" x14ac:dyDescent="0.25">
      <c r="B5" s="461" t="s">
        <v>410</v>
      </c>
      <c r="C5"/>
      <c r="D5" s="211">
        <v>1.2</v>
      </c>
    </row>
    <row r="6" spans="1:4" x14ac:dyDescent="0.25">
      <c r="B6" s="461" t="s">
        <v>409</v>
      </c>
      <c r="C6"/>
      <c r="D6" s="211">
        <v>0.7</v>
      </c>
    </row>
    <row r="7" spans="1:4" x14ac:dyDescent="0.25">
      <c r="B7" s="461" t="s">
        <v>408</v>
      </c>
      <c r="C7"/>
      <c r="D7" s="211">
        <v>0.3</v>
      </c>
    </row>
    <row r="8" spans="1:4" x14ac:dyDescent="0.25">
      <c r="B8" s="461" t="s">
        <v>407</v>
      </c>
      <c r="C8"/>
      <c r="D8" s="211">
        <v>0.3</v>
      </c>
    </row>
    <row r="9" spans="1:4" s="461" customFormat="1" x14ac:dyDescent="0.25">
      <c r="B9" t="s">
        <v>406</v>
      </c>
      <c r="D9" s="211">
        <v>1.3</v>
      </c>
    </row>
    <row r="10" spans="1:4" x14ac:dyDescent="0.25">
      <c r="A10" s="463" t="s">
        <v>413</v>
      </c>
    </row>
    <row r="11" spans="1:4" x14ac:dyDescent="0.25">
      <c r="B11" s="461" t="s">
        <v>246</v>
      </c>
      <c r="C11"/>
      <c r="D11" s="211" t="s">
        <v>418</v>
      </c>
    </row>
    <row r="12" spans="1:4" s="461" customFormat="1" x14ac:dyDescent="0.25">
      <c r="B12" s="461" t="s">
        <v>419</v>
      </c>
      <c r="D12" s="211" t="s">
        <v>418</v>
      </c>
    </row>
    <row r="13" spans="1:4" s="461" customFormat="1" x14ac:dyDescent="0.25">
      <c r="B13" s="461" t="s">
        <v>420</v>
      </c>
      <c r="D13" s="211" t="s">
        <v>418</v>
      </c>
    </row>
    <row r="14" spans="1:4" x14ac:dyDescent="0.25">
      <c r="B14" s="461" t="s">
        <v>421</v>
      </c>
      <c r="C14"/>
      <c r="D14" s="211" t="s">
        <v>418</v>
      </c>
    </row>
    <row r="15" spans="1:4" x14ac:dyDescent="0.25">
      <c r="B15" s="461" t="s">
        <v>422</v>
      </c>
      <c r="C15"/>
      <c r="D15" s="211" t="s">
        <v>423</v>
      </c>
    </row>
    <row r="16" spans="1:4" s="461" customFormat="1" x14ac:dyDescent="0.25">
      <c r="B16" s="461" t="s">
        <v>424</v>
      </c>
      <c r="D16" s="211" t="s">
        <v>425</v>
      </c>
    </row>
    <row r="17" spans="1:4" s="461" customFormat="1" x14ac:dyDescent="0.25">
      <c r="B17" s="461" t="s">
        <v>426</v>
      </c>
      <c r="D17" s="211" t="s">
        <v>427</v>
      </c>
    </row>
    <row r="18" spans="1:4" s="461" customFormat="1" x14ac:dyDescent="0.25">
      <c r="A18" s="463" t="s">
        <v>414</v>
      </c>
      <c r="C18" s="211"/>
    </row>
    <row r="19" spans="1:4" s="461" customFormat="1" x14ac:dyDescent="0.25">
      <c r="B19" s="460" t="s">
        <v>415</v>
      </c>
      <c r="D19" s="211"/>
    </row>
    <row r="20" spans="1:4" s="461" customFormat="1" x14ac:dyDescent="0.25">
      <c r="B20" s="461" t="s">
        <v>428</v>
      </c>
      <c r="D20" s="211" t="s">
        <v>429</v>
      </c>
    </row>
    <row r="21" spans="1:4" s="461" customFormat="1" x14ac:dyDescent="0.25">
      <c r="B21" s="461" t="s">
        <v>430</v>
      </c>
      <c r="D21" s="211" t="s">
        <v>431</v>
      </c>
    </row>
    <row r="22" spans="1:4" s="461" customFormat="1" x14ac:dyDescent="0.25">
      <c r="B22" s="461" t="s">
        <v>432</v>
      </c>
      <c r="D22" s="211" t="s">
        <v>433</v>
      </c>
    </row>
    <row r="23" spans="1:4" s="461" customFormat="1" x14ac:dyDescent="0.25">
      <c r="B23" s="461" t="s">
        <v>434</v>
      </c>
      <c r="D23" s="211" t="s">
        <v>435</v>
      </c>
    </row>
    <row r="24" spans="1:4" s="461" customFormat="1" x14ac:dyDescent="0.25">
      <c r="B24" s="461" t="s">
        <v>417</v>
      </c>
      <c r="D24" s="211">
        <v>1000</v>
      </c>
    </row>
    <row r="25" spans="1:4" s="461" customFormat="1" x14ac:dyDescent="0.25">
      <c r="B25" s="460" t="s">
        <v>416</v>
      </c>
      <c r="D25" s="211"/>
    </row>
    <row r="26" spans="1:4" s="461" customFormat="1" x14ac:dyDescent="0.25">
      <c r="B26" s="461" t="s">
        <v>436</v>
      </c>
      <c r="D26" s="211">
        <v>500</v>
      </c>
    </row>
    <row r="27" spans="1:4" s="461" customFormat="1" x14ac:dyDescent="0.25">
      <c r="B27" s="461" t="s">
        <v>437</v>
      </c>
      <c r="D27" s="211">
        <v>35</v>
      </c>
    </row>
    <row r="28" spans="1:4" s="461" customFormat="1" x14ac:dyDescent="0.25">
      <c r="B28" s="461" t="s">
        <v>444</v>
      </c>
      <c r="D28" s="211">
        <v>200</v>
      </c>
    </row>
    <row r="29" spans="1:4" s="461" customFormat="1" x14ac:dyDescent="0.25">
      <c r="B29" s="461" t="s">
        <v>438</v>
      </c>
      <c r="D29" s="211">
        <v>200</v>
      </c>
    </row>
    <row r="30" spans="1:4" s="461" customFormat="1" x14ac:dyDescent="0.25">
      <c r="B30" s="461" t="s">
        <v>439</v>
      </c>
      <c r="D30" s="211">
        <v>250</v>
      </c>
    </row>
    <row r="31" spans="1:4" s="461" customFormat="1" x14ac:dyDescent="0.25">
      <c r="B31" s="461" t="s">
        <v>440</v>
      </c>
      <c r="D31" s="211">
        <v>2000</v>
      </c>
    </row>
    <row r="32" spans="1:4" s="461" customFormat="1" x14ac:dyDescent="0.25">
      <c r="B32" s="461" t="s">
        <v>441</v>
      </c>
      <c r="D32" s="211" t="s">
        <v>442</v>
      </c>
    </row>
    <row r="33" spans="1:7" s="461" customFormat="1" x14ac:dyDescent="0.25">
      <c r="C33" s="211"/>
    </row>
    <row r="34" spans="1:7" s="461" customFormat="1" x14ac:dyDescent="0.25">
      <c r="A34" s="476"/>
      <c r="B34" s="476"/>
      <c r="C34" s="4"/>
      <c r="D34" s="476"/>
      <c r="E34" s="476"/>
      <c r="F34" s="476"/>
      <c r="G34" s="476"/>
    </row>
    <row r="35" spans="1:7" s="461" customFormat="1" x14ac:dyDescent="0.25">
      <c r="A35" s="476"/>
      <c r="B35" s="476"/>
      <c r="C35" s="4"/>
      <c r="D35" s="476"/>
      <c r="E35" s="476"/>
      <c r="F35" s="476"/>
      <c r="G35" s="476"/>
    </row>
    <row r="36" spans="1:7" s="461" customFormat="1" x14ac:dyDescent="0.25">
      <c r="A36" s="476"/>
      <c r="B36" s="476"/>
      <c r="C36" s="4"/>
      <c r="D36" s="476"/>
      <c r="E36" s="476"/>
      <c r="F36" s="476"/>
      <c r="G36" s="476"/>
    </row>
    <row r="37" spans="1:7" s="461" customFormat="1" x14ac:dyDescent="0.25">
      <c r="A37" s="476"/>
      <c r="B37" s="476"/>
      <c r="C37" s="4"/>
      <c r="D37" s="476"/>
      <c r="E37" s="476"/>
      <c r="F37" s="476"/>
      <c r="G37" s="476"/>
    </row>
    <row r="38" spans="1:7" s="461" customFormat="1" x14ac:dyDescent="0.25">
      <c r="A38" s="476"/>
      <c r="B38" s="476"/>
      <c r="C38" s="4"/>
      <c r="D38" s="476"/>
      <c r="E38" s="476"/>
      <c r="F38" s="476"/>
      <c r="G38" s="476"/>
    </row>
    <row r="39" spans="1:7" s="461" customFormat="1" x14ac:dyDescent="0.25">
      <c r="A39" s="476"/>
      <c r="B39" s="476"/>
      <c r="C39" s="4"/>
      <c r="D39" s="476"/>
      <c r="E39" s="476"/>
      <c r="F39" s="476"/>
      <c r="G39" s="476"/>
    </row>
    <row r="40" spans="1:7" s="461" customFormat="1" x14ac:dyDescent="0.25">
      <c r="A40" s="476"/>
      <c r="B40" s="476"/>
      <c r="C40" s="4"/>
      <c r="D40" s="476"/>
      <c r="E40" s="476"/>
      <c r="F40" s="476"/>
      <c r="G40" s="476"/>
    </row>
    <row r="41" spans="1:7" s="461" customFormat="1" x14ac:dyDescent="0.25">
      <c r="A41" s="476"/>
      <c r="B41" s="476"/>
      <c r="C41" s="4"/>
      <c r="D41" s="476"/>
      <c r="E41" s="476"/>
      <c r="F41" s="476"/>
      <c r="G41" s="476"/>
    </row>
    <row r="42" spans="1:7" s="461" customFormat="1" x14ac:dyDescent="0.25">
      <c r="A42" s="476"/>
      <c r="B42" s="476"/>
      <c r="C42" s="4"/>
      <c r="D42" s="476"/>
      <c r="E42" s="476"/>
      <c r="F42" s="476"/>
      <c r="G42" s="476"/>
    </row>
    <row r="43" spans="1:7" s="461" customFormat="1" x14ac:dyDescent="0.25">
      <c r="A43" s="476"/>
      <c r="B43" s="476"/>
      <c r="C43" s="4"/>
      <c r="D43" s="476"/>
      <c r="E43" s="476"/>
      <c r="F43" s="476"/>
      <c r="G43" s="476"/>
    </row>
    <row r="44" spans="1:7" s="461" customFormat="1" x14ac:dyDescent="0.25">
      <c r="A44" s="476"/>
      <c r="B44" s="476"/>
      <c r="C44" s="4"/>
      <c r="D44" s="476"/>
      <c r="E44" s="476"/>
      <c r="F44" s="476"/>
      <c r="G44" s="476"/>
    </row>
    <row r="45" spans="1:7" s="461" customFormat="1" x14ac:dyDescent="0.25">
      <c r="A45" s="476"/>
      <c r="B45" s="476"/>
      <c r="C45" s="4"/>
      <c r="D45" s="476"/>
      <c r="E45" s="476"/>
      <c r="F45" s="476"/>
      <c r="G45" s="476"/>
    </row>
    <row r="46" spans="1:7" s="461" customFormat="1" x14ac:dyDescent="0.25">
      <c r="A46" s="476"/>
      <c r="B46" s="476"/>
      <c r="C46" s="4"/>
      <c r="D46" s="476"/>
      <c r="E46" s="476"/>
      <c r="F46" s="476"/>
      <c r="G46" s="476"/>
    </row>
    <row r="47" spans="1:7" s="461" customFormat="1" x14ac:dyDescent="0.25">
      <c r="A47" s="476"/>
      <c r="B47" s="476"/>
      <c r="C47" s="4"/>
      <c r="D47" s="476"/>
      <c r="E47" s="476"/>
      <c r="F47" s="476"/>
      <c r="G47" s="476"/>
    </row>
    <row r="48" spans="1:7" s="461" customFormat="1" x14ac:dyDescent="0.25">
      <c r="A48" s="476"/>
      <c r="B48" s="476"/>
      <c r="C48" s="4"/>
      <c r="D48" s="476"/>
      <c r="E48" s="476"/>
      <c r="F48" s="476"/>
      <c r="G48" s="476"/>
    </row>
    <row r="49" spans="1:7" s="461" customFormat="1" x14ac:dyDescent="0.25">
      <c r="A49" s="476"/>
      <c r="B49" s="476"/>
      <c r="C49" s="4"/>
      <c r="D49" s="476"/>
      <c r="E49" s="476"/>
      <c r="F49" s="476"/>
      <c r="G49" s="476"/>
    </row>
    <row r="50" spans="1:7" s="461" customFormat="1" x14ac:dyDescent="0.25">
      <c r="A50" s="476"/>
      <c r="B50" s="476"/>
      <c r="C50" s="4"/>
      <c r="D50" s="476"/>
      <c r="E50" s="476"/>
      <c r="F50" s="476"/>
      <c r="G50" s="476"/>
    </row>
    <row r="51" spans="1:7" s="461" customFormat="1" x14ac:dyDescent="0.25">
      <c r="A51" s="476"/>
      <c r="B51" s="476"/>
      <c r="C51" s="4"/>
      <c r="D51" s="476"/>
      <c r="E51" s="476"/>
      <c r="F51" s="476"/>
      <c r="G51" s="476"/>
    </row>
    <row r="52" spans="1:7" s="461" customFormat="1" x14ac:dyDescent="0.25">
      <c r="A52" s="476"/>
      <c r="B52" s="476"/>
      <c r="C52" s="4"/>
      <c r="D52" s="476"/>
      <c r="E52" s="476"/>
      <c r="F52" s="476"/>
      <c r="G52" s="476"/>
    </row>
    <row r="53" spans="1:7" s="461" customFormat="1" x14ac:dyDescent="0.25">
      <c r="A53" s="476"/>
      <c r="B53" s="476"/>
      <c r="C53" s="4"/>
      <c r="D53" s="476"/>
      <c r="E53" s="476"/>
      <c r="F53" s="476"/>
      <c r="G53" s="476"/>
    </row>
    <row r="54" spans="1:7" s="461" customFormat="1" x14ac:dyDescent="0.25">
      <c r="A54" s="476"/>
      <c r="B54" s="476"/>
      <c r="C54" s="4"/>
      <c r="D54" s="476"/>
      <c r="E54" s="476"/>
      <c r="F54" s="476"/>
      <c r="G54" s="476"/>
    </row>
    <row r="55" spans="1:7" s="461" customFormat="1" x14ac:dyDescent="0.25">
      <c r="A55" s="476"/>
      <c r="B55" s="476"/>
      <c r="C55" s="4"/>
      <c r="D55" s="476"/>
      <c r="E55" s="476"/>
      <c r="F55" s="476"/>
      <c r="G55" s="476"/>
    </row>
    <row r="56" spans="1:7" s="461" customFormat="1" x14ac:dyDescent="0.25">
      <c r="A56" s="476"/>
      <c r="B56" s="476"/>
      <c r="C56" s="4"/>
      <c r="D56" s="476"/>
      <c r="E56" s="476"/>
      <c r="F56" s="476"/>
      <c r="G56" s="476"/>
    </row>
    <row r="57" spans="1:7" s="461" customFormat="1" x14ac:dyDescent="0.25">
      <c r="A57" s="476"/>
      <c r="B57" s="476"/>
      <c r="C57" s="4"/>
      <c r="D57" s="476"/>
      <c r="E57" s="476"/>
      <c r="F57" s="476"/>
      <c r="G57" s="476"/>
    </row>
    <row r="58" spans="1:7" s="461" customFormat="1" x14ac:dyDescent="0.25">
      <c r="A58" s="476"/>
      <c r="B58" s="476"/>
      <c r="C58" s="4"/>
      <c r="D58" s="476"/>
      <c r="E58" s="476"/>
      <c r="F58" s="476"/>
      <c r="G58" s="476"/>
    </row>
    <row r="59" spans="1:7" s="461" customFormat="1" x14ac:dyDescent="0.25">
      <c r="A59" s="476"/>
      <c r="B59" s="476"/>
      <c r="C59" s="4"/>
      <c r="D59" s="476"/>
      <c r="E59" s="476"/>
      <c r="F59" s="476"/>
      <c r="G59" s="476"/>
    </row>
    <row r="60" spans="1:7" s="461" customFormat="1" x14ac:dyDescent="0.25">
      <c r="A60" s="476"/>
      <c r="B60" s="476"/>
      <c r="C60" s="4"/>
      <c r="D60" s="476"/>
      <c r="E60" s="476"/>
      <c r="F60" s="476"/>
      <c r="G60" s="476"/>
    </row>
    <row r="61" spans="1:7" s="461" customFormat="1" x14ac:dyDescent="0.25">
      <c r="A61" s="476"/>
      <c r="B61" s="476"/>
      <c r="C61" s="4"/>
      <c r="D61" s="476"/>
      <c r="E61" s="476"/>
      <c r="F61" s="476"/>
      <c r="G61" s="476"/>
    </row>
    <row r="62" spans="1:7" s="461" customFormat="1" x14ac:dyDescent="0.25">
      <c r="A62" s="476"/>
      <c r="B62" s="476"/>
      <c r="C62" s="4"/>
      <c r="D62" s="476"/>
      <c r="E62" s="476"/>
      <c r="F62" s="476"/>
      <c r="G62" s="476"/>
    </row>
    <row r="63" spans="1:7" s="461" customFormat="1" x14ac:dyDescent="0.25">
      <c r="A63" s="476"/>
      <c r="B63" s="476"/>
      <c r="C63" s="4"/>
      <c r="D63" s="476"/>
      <c r="E63" s="476"/>
      <c r="F63" s="476"/>
      <c r="G63" s="476"/>
    </row>
    <row r="64" spans="1:7" s="461" customFormat="1" x14ac:dyDescent="0.25">
      <c r="A64" s="476"/>
      <c r="B64" s="476"/>
      <c r="C64" s="4"/>
      <c r="D64" s="476"/>
      <c r="E64" s="476"/>
      <c r="F64" s="476"/>
      <c r="G64" s="476"/>
    </row>
    <row r="65" spans="1:7" s="461" customFormat="1" x14ac:dyDescent="0.25">
      <c r="A65" s="476"/>
      <c r="B65" s="476"/>
      <c r="C65" s="4"/>
      <c r="D65" s="476"/>
      <c r="E65" s="476"/>
      <c r="F65" s="476"/>
      <c r="G65" s="476"/>
    </row>
    <row r="66" spans="1:7" s="461" customFormat="1" x14ac:dyDescent="0.25">
      <c r="A66" s="476"/>
      <c r="B66" s="476"/>
      <c r="C66" s="4"/>
      <c r="D66" s="476"/>
      <c r="E66" s="476"/>
      <c r="F66" s="476"/>
      <c r="G66" s="476"/>
    </row>
    <row r="67" spans="1:7" s="461" customFormat="1" x14ac:dyDescent="0.25">
      <c r="A67" s="476"/>
      <c r="B67" s="476"/>
      <c r="C67" s="4"/>
      <c r="D67" s="476"/>
      <c r="E67" s="476"/>
      <c r="F67" s="476"/>
      <c r="G67" s="476"/>
    </row>
    <row r="68" spans="1:7" s="461" customFormat="1" x14ac:dyDescent="0.25">
      <c r="A68" s="476"/>
      <c r="B68" s="476"/>
      <c r="C68" s="4"/>
      <c r="D68" s="476"/>
      <c r="E68" s="476"/>
      <c r="F68" s="476"/>
      <c r="G68" s="476"/>
    </row>
    <row r="69" spans="1:7" s="461" customFormat="1" x14ac:dyDescent="0.25">
      <c r="A69" s="476"/>
      <c r="B69" s="476"/>
      <c r="C69" s="4"/>
      <c r="D69" s="476"/>
      <c r="E69" s="476"/>
      <c r="F69" s="476"/>
      <c r="G69" s="476"/>
    </row>
    <row r="70" spans="1:7" s="461" customFormat="1" x14ac:dyDescent="0.25">
      <c r="A70" s="476"/>
      <c r="B70" s="476"/>
      <c r="C70" s="4"/>
      <c r="D70" s="476"/>
      <c r="E70" s="476"/>
      <c r="F70" s="476"/>
      <c r="G70" s="476"/>
    </row>
    <row r="71" spans="1:7" s="461" customFormat="1" x14ac:dyDescent="0.25">
      <c r="A71" s="476"/>
      <c r="B71" s="476"/>
      <c r="C71" s="4"/>
      <c r="D71" s="476"/>
      <c r="E71" s="476"/>
      <c r="F71" s="476"/>
      <c r="G71" s="476"/>
    </row>
    <row r="72" spans="1:7" s="461" customFormat="1" x14ac:dyDescent="0.25">
      <c r="A72" s="476"/>
      <c r="B72" s="476"/>
      <c r="C72" s="4"/>
      <c r="D72" s="476"/>
      <c r="E72" s="476"/>
      <c r="F72" s="476"/>
      <c r="G72" s="476"/>
    </row>
    <row r="73" spans="1:7" s="461" customFormat="1" x14ac:dyDescent="0.25">
      <c r="A73" s="476"/>
      <c r="B73" s="476"/>
      <c r="C73" s="4"/>
      <c r="D73" s="476"/>
      <c r="E73" s="476"/>
      <c r="F73" s="476"/>
      <c r="G73" s="476"/>
    </row>
    <row r="74" spans="1:7" s="461" customFormat="1" x14ac:dyDescent="0.25">
      <c r="A74" s="476"/>
      <c r="B74" s="476"/>
      <c r="C74" s="4"/>
      <c r="D74" s="476"/>
      <c r="E74" s="476"/>
      <c r="F74" s="476"/>
      <c r="G74" s="476"/>
    </row>
    <row r="75" spans="1:7" s="461" customFormat="1" x14ac:dyDescent="0.25">
      <c r="A75" s="476"/>
      <c r="B75" s="476"/>
      <c r="C75" s="4"/>
      <c r="D75" s="476"/>
      <c r="E75" s="476"/>
      <c r="F75" s="476"/>
      <c r="G75" s="476"/>
    </row>
    <row r="76" spans="1:7" s="461" customFormat="1" x14ac:dyDescent="0.25">
      <c r="A76" s="476"/>
      <c r="B76" s="476"/>
      <c r="C76" s="4"/>
      <c r="D76" s="476"/>
      <c r="E76" s="476"/>
      <c r="F76" s="476"/>
      <c r="G76" s="476"/>
    </row>
    <row r="77" spans="1:7" s="461" customFormat="1" x14ac:dyDescent="0.25">
      <c r="A77" s="476"/>
      <c r="B77" s="476"/>
      <c r="C77" s="4"/>
      <c r="D77" s="476"/>
      <c r="E77" s="476"/>
      <c r="F77" s="476"/>
      <c r="G77" s="476"/>
    </row>
    <row r="78" spans="1:7" s="461" customFormat="1" x14ac:dyDescent="0.25">
      <c r="A78" s="476"/>
      <c r="B78" s="476"/>
      <c r="C78" s="4"/>
      <c r="D78" s="476"/>
      <c r="E78" s="476"/>
      <c r="F78" s="476"/>
      <c r="G78" s="476"/>
    </row>
    <row r="79" spans="1:7" s="461" customFormat="1" x14ac:dyDescent="0.25">
      <c r="A79" s="476"/>
      <c r="B79" s="476"/>
      <c r="C79" s="4"/>
      <c r="D79" s="476"/>
      <c r="E79" s="476"/>
      <c r="F79" s="476"/>
      <c r="G79" s="476"/>
    </row>
    <row r="80" spans="1:7" s="461" customFormat="1" x14ac:dyDescent="0.25">
      <c r="A80" s="476"/>
      <c r="B80" s="476"/>
      <c r="C80" s="4"/>
      <c r="D80" s="476"/>
      <c r="E80" s="476"/>
      <c r="F80" s="476"/>
      <c r="G80" s="476"/>
    </row>
    <row r="81" spans="1:7" s="461" customFormat="1" x14ac:dyDescent="0.25">
      <c r="A81" s="476"/>
      <c r="B81" s="476"/>
      <c r="C81" s="4"/>
      <c r="D81" s="476"/>
      <c r="E81" s="476"/>
      <c r="F81" s="476"/>
      <c r="G81" s="476"/>
    </row>
    <row r="82" spans="1:7" s="461" customFormat="1" x14ac:dyDescent="0.25">
      <c r="A82" s="476"/>
      <c r="B82" s="476"/>
      <c r="C82" s="4"/>
      <c r="D82" s="476"/>
      <c r="E82" s="476"/>
      <c r="F82" s="476"/>
      <c r="G82" s="476"/>
    </row>
    <row r="83" spans="1:7" s="461" customFormat="1" x14ac:dyDescent="0.25">
      <c r="A83" s="476"/>
      <c r="B83" s="476"/>
      <c r="C83" s="4"/>
      <c r="D83" s="476"/>
      <c r="E83" s="476"/>
      <c r="F83" s="476"/>
      <c r="G83" s="476"/>
    </row>
    <row r="84" spans="1:7" s="461" customFormat="1" x14ac:dyDescent="0.25">
      <c r="A84" s="476"/>
      <c r="B84" s="476"/>
      <c r="C84" s="4"/>
      <c r="D84" s="476"/>
      <c r="E84" s="476"/>
      <c r="F84" s="476"/>
      <c r="G84" s="476"/>
    </row>
    <row r="85" spans="1:7" s="461" customFormat="1" x14ac:dyDescent="0.25">
      <c r="A85" s="476"/>
      <c r="B85" s="476"/>
      <c r="C85" s="4"/>
      <c r="D85" s="476"/>
      <c r="E85" s="476"/>
      <c r="F85" s="476"/>
      <c r="G85" s="476"/>
    </row>
    <row r="86" spans="1:7" s="461" customFormat="1" x14ac:dyDescent="0.25">
      <c r="A86" s="476"/>
      <c r="B86" s="476"/>
      <c r="C86" s="4"/>
      <c r="D86" s="476"/>
      <c r="E86" s="476"/>
      <c r="F86" s="476"/>
      <c r="G86" s="476"/>
    </row>
    <row r="87" spans="1:7" s="461" customFormat="1" x14ac:dyDescent="0.25">
      <c r="A87" s="476"/>
      <c r="B87" s="476"/>
      <c r="C87" s="4"/>
      <c r="D87" s="476"/>
      <c r="E87" s="476"/>
      <c r="F87" s="476"/>
      <c r="G87" s="476"/>
    </row>
    <row r="88" spans="1:7" s="461" customFormat="1" x14ac:dyDescent="0.25">
      <c r="A88" s="476"/>
      <c r="B88" s="476"/>
      <c r="C88" s="4"/>
      <c r="D88" s="476"/>
      <c r="E88" s="476"/>
      <c r="F88" s="476"/>
      <c r="G88" s="476"/>
    </row>
    <row r="89" spans="1:7" s="461" customFormat="1" x14ac:dyDescent="0.25">
      <c r="A89" s="476"/>
      <c r="B89" s="476"/>
      <c r="C89" s="4"/>
      <c r="D89" s="476"/>
      <c r="E89" s="476"/>
      <c r="F89" s="476"/>
      <c r="G89" s="476"/>
    </row>
    <row r="90" spans="1:7" s="461" customFormat="1" x14ac:dyDescent="0.25">
      <c r="A90" s="476"/>
      <c r="B90" s="476"/>
      <c r="C90" s="4"/>
      <c r="D90" s="476"/>
      <c r="E90" s="476"/>
      <c r="F90" s="476"/>
      <c r="G90" s="476"/>
    </row>
    <row r="91" spans="1:7" s="461" customFormat="1" x14ac:dyDescent="0.25">
      <c r="A91" s="476"/>
      <c r="B91" s="476"/>
      <c r="C91" s="4"/>
      <c r="D91" s="476"/>
      <c r="E91" s="476"/>
      <c r="F91" s="476"/>
      <c r="G91" s="476"/>
    </row>
    <row r="92" spans="1:7" s="461" customFormat="1" x14ac:dyDescent="0.25">
      <c r="A92" s="476"/>
      <c r="B92" s="476"/>
      <c r="C92" s="4"/>
      <c r="D92" s="476"/>
      <c r="E92" s="476"/>
      <c r="F92" s="476"/>
      <c r="G92" s="476"/>
    </row>
    <row r="93" spans="1:7" s="461" customFormat="1" x14ac:dyDescent="0.25">
      <c r="A93" s="476"/>
      <c r="B93" s="476"/>
      <c r="C93" s="4"/>
      <c r="D93" s="476"/>
      <c r="E93" s="476"/>
      <c r="F93" s="476"/>
      <c r="G93" s="476"/>
    </row>
    <row r="94" spans="1:7" s="461" customFormat="1" x14ac:dyDescent="0.25">
      <c r="A94" s="476"/>
      <c r="B94" s="476"/>
      <c r="C94" s="4"/>
      <c r="D94" s="476"/>
      <c r="E94" s="476"/>
      <c r="F94" s="476"/>
      <c r="G94" s="476"/>
    </row>
    <row r="95" spans="1:7" s="461" customFormat="1" x14ac:dyDescent="0.25">
      <c r="A95" s="476"/>
      <c r="B95" s="476"/>
      <c r="C95" s="4"/>
      <c r="D95" s="476"/>
      <c r="E95" s="476"/>
      <c r="F95" s="476"/>
      <c r="G95" s="476"/>
    </row>
    <row r="96" spans="1:7" s="461" customFormat="1" x14ac:dyDescent="0.25">
      <c r="A96" s="476"/>
      <c r="B96" s="476"/>
      <c r="C96" s="4"/>
      <c r="D96" s="476"/>
      <c r="E96" s="476"/>
      <c r="F96" s="476"/>
      <c r="G96" s="476"/>
    </row>
    <row r="97" spans="1:7" s="461" customFormat="1" x14ac:dyDescent="0.25">
      <c r="A97" s="476"/>
      <c r="B97" s="476"/>
      <c r="C97" s="4"/>
      <c r="D97" s="476"/>
      <c r="E97" s="476"/>
      <c r="F97" s="476"/>
      <c r="G97" s="476"/>
    </row>
    <row r="98" spans="1:7" s="461" customFormat="1" x14ac:dyDescent="0.25">
      <c r="A98" s="476"/>
      <c r="B98" s="476"/>
      <c r="C98" s="4"/>
      <c r="D98" s="476"/>
      <c r="E98" s="476"/>
      <c r="F98" s="476"/>
      <c r="G98" s="476"/>
    </row>
    <row r="99" spans="1:7" s="461" customFormat="1" x14ac:dyDescent="0.25">
      <c r="A99" s="476"/>
      <c r="B99" s="476"/>
      <c r="C99" s="4"/>
      <c r="D99" s="476"/>
      <c r="E99" s="476"/>
      <c r="F99" s="476"/>
      <c r="G99" s="476"/>
    </row>
    <row r="100" spans="1:7" s="461" customFormat="1" x14ac:dyDescent="0.25">
      <c r="A100" s="476"/>
      <c r="B100" s="476"/>
      <c r="C100" s="4"/>
      <c r="D100" s="476"/>
      <c r="E100" s="476"/>
      <c r="F100" s="476"/>
      <c r="G100" s="476"/>
    </row>
    <row r="101" spans="1:7" s="461" customFormat="1" x14ac:dyDescent="0.25">
      <c r="A101" s="476"/>
      <c r="B101" s="476"/>
      <c r="C101" s="4"/>
      <c r="D101" s="476"/>
      <c r="E101" s="476"/>
      <c r="F101" s="476"/>
      <c r="G101" s="476"/>
    </row>
    <row r="102" spans="1:7" s="461" customFormat="1" x14ac:dyDescent="0.25">
      <c r="A102" s="476"/>
      <c r="B102" s="476"/>
      <c r="C102" s="4"/>
      <c r="D102" s="476"/>
      <c r="E102" s="476"/>
      <c r="F102" s="476"/>
      <c r="G102" s="476"/>
    </row>
    <row r="103" spans="1:7" s="461" customFormat="1" x14ac:dyDescent="0.25">
      <c r="A103" s="476"/>
      <c r="B103" s="476"/>
      <c r="C103" s="4"/>
      <c r="D103" s="476"/>
      <c r="E103" s="476"/>
      <c r="F103" s="476"/>
      <c r="G103" s="476"/>
    </row>
    <row r="104" spans="1:7" s="461" customFormat="1" x14ac:dyDescent="0.25">
      <c r="A104" s="476"/>
      <c r="B104" s="476"/>
      <c r="C104" s="4"/>
      <c r="D104" s="476"/>
      <c r="E104" s="476"/>
      <c r="F104" s="476"/>
      <c r="G104" s="476"/>
    </row>
    <row r="105" spans="1:7" s="461" customFormat="1" x14ac:dyDescent="0.25">
      <c r="A105" s="476"/>
      <c r="B105" s="476"/>
      <c r="C105" s="4"/>
      <c r="D105" s="476"/>
      <c r="E105" s="476"/>
      <c r="F105" s="476"/>
      <c r="G105" s="476"/>
    </row>
    <row r="106" spans="1:7" s="461" customFormat="1" x14ac:dyDescent="0.25">
      <c r="A106" s="476"/>
      <c r="B106" s="476"/>
      <c r="C106" s="4"/>
      <c r="D106" s="476"/>
      <c r="E106" s="476"/>
      <c r="F106" s="476"/>
      <c r="G106" s="476"/>
    </row>
    <row r="107" spans="1:7" s="461" customFormat="1" x14ac:dyDescent="0.25">
      <c r="A107" s="476"/>
      <c r="B107" s="476"/>
      <c r="C107" s="4"/>
      <c r="D107" s="476"/>
      <c r="E107" s="476"/>
      <c r="F107" s="476"/>
      <c r="G107" s="476"/>
    </row>
    <row r="108" spans="1:7" s="461" customFormat="1" x14ac:dyDescent="0.25">
      <c r="A108" s="476"/>
      <c r="B108" s="476"/>
      <c r="C108" s="4"/>
      <c r="D108" s="476"/>
      <c r="E108" s="476"/>
      <c r="F108" s="476"/>
      <c r="G108" s="476"/>
    </row>
    <row r="109" spans="1:7" s="461" customFormat="1" x14ac:dyDescent="0.25">
      <c r="A109" s="476"/>
      <c r="B109" s="476"/>
      <c r="C109" s="4"/>
      <c r="D109" s="476"/>
      <c r="E109" s="476"/>
      <c r="F109" s="476"/>
      <c r="G109" s="476"/>
    </row>
    <row r="110" spans="1:7" s="461" customFormat="1" x14ac:dyDescent="0.25">
      <c r="A110" s="476"/>
      <c r="B110" s="476"/>
      <c r="C110" s="4"/>
      <c r="D110" s="476"/>
      <c r="E110" s="476"/>
      <c r="F110" s="476"/>
      <c r="G110" s="476"/>
    </row>
    <row r="111" spans="1:7" s="461" customFormat="1" x14ac:dyDescent="0.25">
      <c r="A111" s="476"/>
      <c r="B111" s="476"/>
      <c r="C111" s="4"/>
      <c r="D111" s="476"/>
      <c r="E111" s="476"/>
      <c r="F111" s="476"/>
      <c r="G111" s="476"/>
    </row>
    <row r="112" spans="1:7" s="461" customFormat="1" x14ac:dyDescent="0.25">
      <c r="A112" s="476"/>
      <c r="B112" s="476"/>
      <c r="C112" s="4"/>
      <c r="D112" s="476"/>
      <c r="E112" s="476"/>
      <c r="F112" s="476"/>
      <c r="G112" s="476"/>
    </row>
    <row r="113" spans="1:7" s="461" customFormat="1" x14ac:dyDescent="0.25">
      <c r="A113" s="476"/>
      <c r="B113" s="476"/>
      <c r="C113" s="4"/>
      <c r="D113" s="476"/>
      <c r="E113" s="476"/>
      <c r="F113" s="476"/>
      <c r="G113" s="476"/>
    </row>
    <row r="114" spans="1:7" s="461" customFormat="1" x14ac:dyDescent="0.25">
      <c r="A114" s="476"/>
      <c r="B114" s="476"/>
      <c r="C114" s="4"/>
      <c r="D114" s="476"/>
      <c r="E114" s="476"/>
      <c r="F114" s="476"/>
      <c r="G114" s="476"/>
    </row>
    <row r="115" spans="1:7" s="461" customFormat="1" x14ac:dyDescent="0.25">
      <c r="A115" s="476"/>
      <c r="B115" s="476"/>
      <c r="C115" s="4"/>
      <c r="D115" s="476"/>
      <c r="E115" s="476"/>
      <c r="F115" s="476"/>
      <c r="G115" s="476"/>
    </row>
    <row r="116" spans="1:7" s="461" customFormat="1" x14ac:dyDescent="0.25">
      <c r="A116" s="476"/>
      <c r="B116" s="476"/>
      <c r="C116" s="4"/>
      <c r="D116" s="476"/>
      <c r="E116" s="476"/>
      <c r="F116" s="476"/>
      <c r="G116" s="476"/>
    </row>
    <row r="117" spans="1:7" s="461" customFormat="1" x14ac:dyDescent="0.25">
      <c r="A117" s="476"/>
      <c r="B117" s="476"/>
      <c r="C117" s="4"/>
      <c r="D117" s="476"/>
      <c r="E117" s="476"/>
      <c r="F117" s="476"/>
      <c r="G117" s="476"/>
    </row>
    <row r="118" spans="1:7" s="461" customFormat="1" x14ac:dyDescent="0.25">
      <c r="A118" s="476"/>
      <c r="B118" s="476"/>
      <c r="C118" s="4"/>
      <c r="D118" s="476"/>
      <c r="E118" s="476"/>
      <c r="F118" s="476"/>
      <c r="G118" s="476"/>
    </row>
    <row r="119" spans="1:7" s="461" customFormat="1" x14ac:dyDescent="0.25">
      <c r="A119" s="476"/>
      <c r="B119" s="476"/>
      <c r="C119" s="4"/>
      <c r="D119" s="476"/>
      <c r="E119" s="476"/>
      <c r="F119" s="476"/>
      <c r="G119" s="476"/>
    </row>
    <row r="120" spans="1:7" s="461" customFormat="1" x14ac:dyDescent="0.25">
      <c r="A120" s="476"/>
      <c r="B120" s="476"/>
      <c r="C120" s="4"/>
      <c r="D120" s="476"/>
      <c r="E120" s="476"/>
      <c r="F120" s="476"/>
      <c r="G120" s="476"/>
    </row>
    <row r="121" spans="1:7" s="461" customFormat="1" x14ac:dyDescent="0.25">
      <c r="A121" s="476"/>
      <c r="B121" s="476"/>
      <c r="C121" s="4"/>
      <c r="D121" s="476"/>
      <c r="E121" s="476"/>
      <c r="F121" s="476"/>
      <c r="G121" s="476"/>
    </row>
    <row r="122" spans="1:7" s="461" customFormat="1" x14ac:dyDescent="0.25">
      <c r="A122" s="476"/>
      <c r="B122" s="476"/>
      <c r="C122" s="4"/>
      <c r="D122" s="476"/>
      <c r="E122" s="476"/>
      <c r="F122" s="476"/>
      <c r="G122" s="476"/>
    </row>
    <row r="123" spans="1:7" s="461" customFormat="1" x14ac:dyDescent="0.25">
      <c r="A123" s="476"/>
      <c r="B123" s="476"/>
      <c r="C123" s="4"/>
      <c r="D123" s="476"/>
      <c r="E123" s="476"/>
      <c r="F123" s="476"/>
      <c r="G123" s="476"/>
    </row>
    <row r="124" spans="1:7" s="461" customFormat="1" x14ac:dyDescent="0.25">
      <c r="A124" s="476"/>
      <c r="B124" s="476"/>
      <c r="C124" s="4"/>
      <c r="D124" s="476"/>
      <c r="E124" s="476"/>
      <c r="F124" s="476"/>
      <c r="G124" s="476"/>
    </row>
    <row r="125" spans="1:7" s="461" customFormat="1" x14ac:dyDescent="0.25">
      <c r="A125" s="476"/>
      <c r="B125" s="476"/>
      <c r="C125" s="4"/>
      <c r="D125" s="476"/>
      <c r="E125" s="476"/>
      <c r="F125" s="476"/>
      <c r="G125" s="476"/>
    </row>
    <row r="126" spans="1:7" s="461" customFormat="1" x14ac:dyDescent="0.25">
      <c r="A126" s="476"/>
      <c r="B126" s="476"/>
      <c r="C126" s="4"/>
      <c r="D126" s="476"/>
      <c r="E126" s="476"/>
      <c r="F126" s="476"/>
      <c r="G126" s="476"/>
    </row>
    <row r="127" spans="1:7" s="461" customFormat="1" x14ac:dyDescent="0.25">
      <c r="A127" s="476"/>
      <c r="B127" s="476"/>
      <c r="C127" s="4"/>
      <c r="D127" s="476"/>
      <c r="E127" s="476"/>
      <c r="F127" s="476"/>
      <c r="G127" s="476"/>
    </row>
    <row r="128" spans="1:7" s="461" customFormat="1" x14ac:dyDescent="0.25">
      <c r="A128" s="476"/>
      <c r="B128" s="476"/>
      <c r="C128" s="4"/>
      <c r="D128" s="476"/>
      <c r="E128" s="476"/>
      <c r="F128" s="476"/>
      <c r="G128" s="476"/>
    </row>
    <row r="129" spans="1:7" s="461" customFormat="1" x14ac:dyDescent="0.25">
      <c r="A129" s="476"/>
      <c r="B129" s="476"/>
      <c r="C129" s="4"/>
      <c r="D129" s="476"/>
      <c r="E129" s="476"/>
      <c r="F129" s="476"/>
      <c r="G129" s="476"/>
    </row>
    <row r="130" spans="1:7" s="461" customFormat="1" x14ac:dyDescent="0.25">
      <c r="A130" s="476"/>
      <c r="B130" s="476"/>
      <c r="C130" s="4"/>
      <c r="D130" s="476"/>
      <c r="E130" s="476"/>
      <c r="F130" s="476"/>
      <c r="G130" s="476"/>
    </row>
    <row r="131" spans="1:7" s="461" customFormat="1" x14ac:dyDescent="0.25">
      <c r="A131" s="476"/>
      <c r="B131" s="476"/>
      <c r="C131" s="4"/>
      <c r="D131" s="476"/>
      <c r="E131" s="476"/>
      <c r="F131" s="476"/>
      <c r="G131" s="476"/>
    </row>
    <row r="132" spans="1:7" s="461" customFormat="1" x14ac:dyDescent="0.25">
      <c r="A132" s="476"/>
      <c r="B132" s="476"/>
      <c r="C132" s="4"/>
      <c r="D132" s="476"/>
      <c r="E132" s="476"/>
      <c r="F132" s="476"/>
      <c r="G132" s="476"/>
    </row>
    <row r="133" spans="1:7" s="461" customFormat="1" x14ac:dyDescent="0.25">
      <c r="A133" s="476"/>
      <c r="B133" s="476"/>
      <c r="C133" s="4"/>
      <c r="D133" s="476"/>
      <c r="E133" s="476"/>
      <c r="F133" s="476"/>
      <c r="G133" s="476"/>
    </row>
    <row r="134" spans="1:7" s="461" customFormat="1" x14ac:dyDescent="0.25">
      <c r="A134" s="476"/>
      <c r="B134" s="476"/>
      <c r="C134" s="4"/>
      <c r="D134" s="476"/>
      <c r="E134" s="476"/>
      <c r="F134" s="476"/>
      <c r="G134" s="476"/>
    </row>
    <row r="135" spans="1:7" s="461" customFormat="1" x14ac:dyDescent="0.25">
      <c r="A135" s="476"/>
      <c r="B135" s="476"/>
      <c r="C135" s="4"/>
      <c r="D135" s="476"/>
      <c r="E135" s="476"/>
      <c r="F135" s="476"/>
      <c r="G135" s="476"/>
    </row>
    <row r="136" spans="1:7" s="461" customFormat="1" x14ac:dyDescent="0.25">
      <c r="A136" s="476"/>
      <c r="B136" s="476"/>
      <c r="C136" s="4"/>
      <c r="D136" s="476"/>
      <c r="E136" s="476"/>
      <c r="F136" s="476"/>
      <c r="G136" s="476"/>
    </row>
    <row r="137" spans="1:7" s="461" customFormat="1" x14ac:dyDescent="0.25">
      <c r="A137" s="476"/>
      <c r="B137" s="476"/>
      <c r="C137" s="4"/>
      <c r="D137" s="476"/>
      <c r="E137" s="476"/>
      <c r="F137" s="476"/>
      <c r="G137" s="476"/>
    </row>
    <row r="138" spans="1:7" s="461" customFormat="1" x14ac:dyDescent="0.25">
      <c r="A138" s="476"/>
      <c r="B138" s="476"/>
      <c r="C138" s="4"/>
      <c r="D138" s="476"/>
      <c r="E138" s="476"/>
      <c r="F138" s="476"/>
      <c r="G138" s="476"/>
    </row>
    <row r="139" spans="1:7" s="461" customFormat="1" x14ac:dyDescent="0.25">
      <c r="A139" s="476"/>
      <c r="B139" s="476"/>
      <c r="C139" s="4"/>
      <c r="D139" s="476"/>
      <c r="E139" s="476"/>
      <c r="F139" s="476"/>
      <c r="G139" s="476"/>
    </row>
    <row r="140" spans="1:7" s="461" customFormat="1" x14ac:dyDescent="0.25">
      <c r="A140" s="476"/>
      <c r="B140" s="476"/>
      <c r="C140" s="4"/>
      <c r="D140" s="476"/>
      <c r="E140" s="476"/>
      <c r="F140" s="476"/>
      <c r="G140" s="476"/>
    </row>
    <row r="141" spans="1:7" s="461" customFormat="1" x14ac:dyDescent="0.25">
      <c r="A141" s="476"/>
      <c r="B141" s="476"/>
      <c r="C141" s="4"/>
      <c r="D141" s="476"/>
      <c r="E141" s="476"/>
      <c r="F141" s="476"/>
      <c r="G141" s="476"/>
    </row>
    <row r="142" spans="1:7" s="461" customFormat="1" x14ac:dyDescent="0.25">
      <c r="A142" s="476"/>
      <c r="B142" s="476"/>
      <c r="C142" s="4"/>
      <c r="D142" s="476"/>
      <c r="E142" s="476"/>
      <c r="F142" s="476"/>
      <c r="G142" s="476"/>
    </row>
    <row r="143" spans="1:7" s="461" customFormat="1" x14ac:dyDescent="0.25">
      <c r="A143" s="476"/>
      <c r="B143" s="476"/>
      <c r="C143" s="4"/>
      <c r="D143" s="476"/>
      <c r="E143" s="476"/>
      <c r="F143" s="476"/>
      <c r="G143" s="476"/>
    </row>
    <row r="144" spans="1:7" s="461" customFormat="1" x14ac:dyDescent="0.25">
      <c r="A144" s="476"/>
      <c r="B144" s="476"/>
      <c r="C144" s="4"/>
      <c r="D144" s="476"/>
      <c r="E144" s="476"/>
      <c r="F144" s="476"/>
      <c r="G144" s="476"/>
    </row>
    <row r="145" spans="1:7" s="461" customFormat="1" x14ac:dyDescent="0.25">
      <c r="A145" s="476"/>
      <c r="B145" s="476"/>
      <c r="C145" s="4"/>
      <c r="D145" s="476"/>
      <c r="E145" s="476"/>
      <c r="F145" s="476"/>
      <c r="G145" s="476"/>
    </row>
    <row r="146" spans="1:7" s="461" customFormat="1" x14ac:dyDescent="0.25">
      <c r="A146" s="476"/>
      <c r="B146" s="476"/>
      <c r="C146" s="4"/>
      <c r="D146" s="476"/>
      <c r="E146" s="476"/>
      <c r="F146" s="476"/>
      <c r="G146" s="476"/>
    </row>
    <row r="147" spans="1:7" s="461" customFormat="1" x14ac:dyDescent="0.25">
      <c r="A147" s="476"/>
      <c r="B147" s="476"/>
      <c r="C147" s="4"/>
      <c r="D147" s="476"/>
      <c r="E147" s="476"/>
      <c r="F147" s="476"/>
      <c r="G147" s="476"/>
    </row>
    <row r="148" spans="1:7" s="461" customFormat="1" x14ac:dyDescent="0.25">
      <c r="A148" s="476"/>
      <c r="B148" s="476"/>
      <c r="C148" s="4"/>
      <c r="D148" s="476"/>
      <c r="E148" s="476"/>
      <c r="F148" s="476"/>
      <c r="G148" s="476"/>
    </row>
    <row r="149" spans="1:7" s="461" customFormat="1" x14ac:dyDescent="0.25">
      <c r="A149" s="476"/>
      <c r="B149" s="476"/>
      <c r="C149" s="4"/>
      <c r="D149" s="476"/>
      <c r="E149" s="476"/>
      <c r="F149" s="476"/>
      <c r="G149" s="476"/>
    </row>
    <row r="150" spans="1:7" s="461" customFormat="1" x14ac:dyDescent="0.25">
      <c r="A150" s="476"/>
      <c r="B150" s="476"/>
      <c r="C150" s="4"/>
      <c r="D150" s="476"/>
      <c r="E150" s="476"/>
      <c r="F150" s="476"/>
      <c r="G150" s="476"/>
    </row>
    <row r="151" spans="1:7" s="461" customFormat="1" x14ac:dyDescent="0.25">
      <c r="A151" s="476"/>
      <c r="B151" s="476"/>
      <c r="C151" s="4"/>
      <c r="D151" s="476"/>
      <c r="E151" s="476"/>
      <c r="F151" s="476"/>
      <c r="G151" s="476"/>
    </row>
    <row r="152" spans="1:7" s="461" customFormat="1" x14ac:dyDescent="0.25">
      <c r="A152" s="476"/>
      <c r="B152" s="476"/>
      <c r="C152" s="4"/>
      <c r="D152" s="476"/>
      <c r="E152" s="476"/>
      <c r="F152" s="476"/>
      <c r="G152" s="476"/>
    </row>
    <row r="153" spans="1:7" s="461" customFormat="1" x14ac:dyDescent="0.25">
      <c r="A153" s="476"/>
      <c r="B153" s="476"/>
      <c r="C153" s="4"/>
      <c r="D153" s="476"/>
      <c r="E153" s="476"/>
      <c r="F153" s="476"/>
      <c r="G153" s="476"/>
    </row>
    <row r="154" spans="1:7" s="461" customFormat="1" x14ac:dyDescent="0.25">
      <c r="A154" s="476"/>
      <c r="B154" s="476"/>
      <c r="C154" s="4"/>
      <c r="D154" s="476"/>
      <c r="E154" s="476"/>
      <c r="F154" s="476"/>
      <c r="G154" s="476"/>
    </row>
    <row r="155" spans="1:7" s="461" customFormat="1" x14ac:dyDescent="0.25">
      <c r="A155" s="476"/>
      <c r="B155" s="476"/>
      <c r="C155" s="4"/>
      <c r="D155" s="476"/>
      <c r="E155" s="476"/>
      <c r="F155" s="476"/>
      <c r="G155" s="476"/>
    </row>
    <row r="156" spans="1:7" s="461" customFormat="1" x14ac:dyDescent="0.25">
      <c r="A156" s="476"/>
      <c r="B156" s="476"/>
      <c r="C156" s="4"/>
      <c r="D156" s="476"/>
      <c r="E156" s="476"/>
      <c r="F156" s="476"/>
      <c r="G156" s="476"/>
    </row>
    <row r="157" spans="1:7" s="461" customFormat="1" x14ac:dyDescent="0.25">
      <c r="A157" s="476"/>
      <c r="B157" s="476"/>
      <c r="C157" s="4"/>
      <c r="D157" s="476"/>
      <c r="E157" s="476"/>
      <c r="F157" s="476"/>
      <c r="G157" s="476"/>
    </row>
    <row r="158" spans="1:7" s="461" customFormat="1" x14ac:dyDescent="0.25">
      <c r="A158" s="476"/>
      <c r="B158" s="476"/>
      <c r="C158" s="4"/>
      <c r="D158" s="476"/>
      <c r="E158" s="476"/>
      <c r="F158" s="476"/>
      <c r="G158" s="476"/>
    </row>
    <row r="159" spans="1:7" s="461" customFormat="1" x14ac:dyDescent="0.25">
      <c r="A159" s="476"/>
      <c r="B159" s="476"/>
      <c r="C159" s="4"/>
      <c r="D159" s="476"/>
      <c r="E159" s="476"/>
      <c r="F159" s="476"/>
      <c r="G159" s="476"/>
    </row>
    <row r="160" spans="1:7" s="461" customFormat="1" x14ac:dyDescent="0.25">
      <c r="A160" s="476"/>
      <c r="B160" s="476"/>
      <c r="C160" s="4"/>
      <c r="D160" s="476"/>
      <c r="E160" s="476"/>
      <c r="F160" s="476"/>
      <c r="G160" s="476"/>
    </row>
    <row r="161" spans="1:7" s="461" customFormat="1" x14ac:dyDescent="0.25">
      <c r="A161" s="476"/>
      <c r="B161" s="476"/>
      <c r="C161" s="4"/>
      <c r="D161" s="476"/>
      <c r="E161" s="476"/>
      <c r="F161" s="476"/>
      <c r="G161" s="476"/>
    </row>
    <row r="162" spans="1:7" s="461" customFormat="1" x14ac:dyDescent="0.25">
      <c r="A162" s="476"/>
      <c r="B162" s="476"/>
      <c r="C162" s="4"/>
      <c r="D162" s="476"/>
      <c r="E162" s="476"/>
      <c r="F162" s="476"/>
      <c r="G162" s="476"/>
    </row>
    <row r="163" spans="1:7" s="461" customFormat="1" x14ac:dyDescent="0.25">
      <c r="A163" s="476"/>
      <c r="B163" s="476"/>
      <c r="C163" s="4"/>
      <c r="D163" s="476"/>
      <c r="E163" s="476"/>
      <c r="F163" s="476"/>
      <c r="G163" s="476"/>
    </row>
    <row r="164" spans="1:7" s="461" customFormat="1" x14ac:dyDescent="0.25">
      <c r="A164" s="476"/>
      <c r="B164" s="476"/>
      <c r="C164" s="4"/>
      <c r="D164" s="476"/>
      <c r="E164" s="476"/>
      <c r="F164" s="476"/>
      <c r="G164" s="476"/>
    </row>
    <row r="165" spans="1:7" s="461" customFormat="1" x14ac:dyDescent="0.25">
      <c r="A165" s="476"/>
      <c r="B165" s="476"/>
      <c r="C165" s="4"/>
      <c r="D165" s="476"/>
      <c r="E165" s="476"/>
      <c r="F165" s="476"/>
      <c r="G165" s="476"/>
    </row>
    <row r="166" spans="1:7" s="461" customFormat="1" x14ac:dyDescent="0.25">
      <c r="A166" s="476"/>
      <c r="B166" s="476"/>
      <c r="C166" s="4"/>
      <c r="D166" s="476"/>
      <c r="E166" s="476"/>
      <c r="F166" s="476"/>
      <c r="G166" s="476"/>
    </row>
    <row r="167" spans="1:7" s="461" customFormat="1" x14ac:dyDescent="0.25">
      <c r="A167" s="476"/>
      <c r="B167" s="476"/>
      <c r="C167" s="4"/>
      <c r="D167" s="476"/>
      <c r="E167" s="476"/>
      <c r="F167" s="476"/>
      <c r="G167" s="476"/>
    </row>
    <row r="168" spans="1:7" s="461" customFormat="1" x14ac:dyDescent="0.25">
      <c r="A168" s="476"/>
      <c r="B168" s="476"/>
      <c r="C168" s="4"/>
      <c r="D168" s="476"/>
      <c r="E168" s="476"/>
      <c r="F168" s="476"/>
      <c r="G168" s="476"/>
    </row>
    <row r="169" spans="1:7" s="461" customFormat="1" x14ac:dyDescent="0.25">
      <c r="A169" s="476"/>
      <c r="B169" s="476"/>
      <c r="C169" s="4"/>
      <c r="D169" s="476"/>
      <c r="E169" s="476"/>
      <c r="F169" s="476"/>
      <c r="G169" s="476"/>
    </row>
    <row r="170" spans="1:7" s="461" customFormat="1" x14ac:dyDescent="0.25">
      <c r="A170" s="476"/>
      <c r="B170" s="476"/>
      <c r="C170" s="4"/>
      <c r="D170" s="476"/>
      <c r="E170" s="476"/>
      <c r="F170" s="476"/>
      <c r="G170" s="476"/>
    </row>
    <row r="171" spans="1:7" s="461" customFormat="1" x14ac:dyDescent="0.25">
      <c r="A171" s="476"/>
      <c r="B171" s="476"/>
      <c r="C171" s="4"/>
      <c r="D171" s="476"/>
      <c r="E171" s="476"/>
      <c r="F171" s="476"/>
      <c r="G171" s="476"/>
    </row>
    <row r="172" spans="1:7" s="461" customFormat="1" x14ac:dyDescent="0.25">
      <c r="A172" s="476"/>
      <c r="B172" s="476"/>
      <c r="C172" s="4"/>
      <c r="D172" s="476"/>
      <c r="E172" s="476"/>
      <c r="F172" s="476"/>
      <c r="G172" s="476"/>
    </row>
    <row r="173" spans="1:7" s="461" customFormat="1" x14ac:dyDescent="0.25">
      <c r="A173" s="476"/>
      <c r="B173" s="476"/>
      <c r="C173" s="4"/>
      <c r="D173" s="476"/>
      <c r="E173" s="476"/>
      <c r="F173" s="476"/>
      <c r="G173" s="476"/>
    </row>
    <row r="174" spans="1:7" s="461" customFormat="1" x14ac:dyDescent="0.25">
      <c r="A174" s="476"/>
      <c r="B174" s="476"/>
      <c r="C174" s="4"/>
      <c r="D174" s="476"/>
      <c r="E174" s="476"/>
      <c r="F174" s="476"/>
      <c r="G174" s="476"/>
    </row>
    <row r="175" spans="1:7" s="461" customFormat="1" x14ac:dyDescent="0.25">
      <c r="A175" s="476"/>
      <c r="B175" s="476"/>
      <c r="C175" s="4"/>
      <c r="D175" s="476"/>
      <c r="E175" s="476"/>
      <c r="F175" s="476"/>
      <c r="G175" s="476"/>
    </row>
    <row r="176" spans="1:7" s="461" customFormat="1" x14ac:dyDescent="0.25">
      <c r="A176" s="476"/>
      <c r="B176" s="476"/>
      <c r="C176" s="4"/>
      <c r="D176" s="476"/>
      <c r="E176" s="476"/>
      <c r="F176" s="476"/>
      <c r="G176" s="476"/>
    </row>
    <row r="177" spans="1:7" s="461" customFormat="1" x14ac:dyDescent="0.25">
      <c r="A177" s="476"/>
      <c r="B177" s="476"/>
      <c r="C177" s="4"/>
      <c r="D177" s="476"/>
      <c r="E177" s="476"/>
      <c r="F177" s="476"/>
      <c r="G177" s="476"/>
    </row>
    <row r="178" spans="1:7" s="461" customFormat="1" x14ac:dyDescent="0.25">
      <c r="A178" s="476"/>
      <c r="B178" s="476"/>
      <c r="C178" s="4"/>
      <c r="D178" s="476"/>
      <c r="E178" s="476"/>
      <c r="F178" s="476"/>
      <c r="G178" s="476"/>
    </row>
    <row r="179" spans="1:7" s="461" customFormat="1" x14ac:dyDescent="0.25">
      <c r="A179" s="476"/>
      <c r="B179" s="476"/>
      <c r="C179" s="4"/>
      <c r="D179" s="476"/>
      <c r="E179" s="476"/>
      <c r="F179" s="476"/>
      <c r="G179" s="476"/>
    </row>
    <row r="180" spans="1:7" s="461" customFormat="1" x14ac:dyDescent="0.25">
      <c r="A180" s="476"/>
      <c r="B180" s="476"/>
      <c r="C180" s="4"/>
      <c r="D180" s="476"/>
      <c r="E180" s="476"/>
      <c r="F180" s="476"/>
      <c r="G180" s="476"/>
    </row>
    <row r="181" spans="1:7" s="461" customFormat="1" x14ac:dyDescent="0.25">
      <c r="A181" s="476"/>
      <c r="B181" s="476"/>
      <c r="C181" s="4"/>
      <c r="D181" s="476"/>
      <c r="E181" s="476"/>
      <c r="F181" s="476"/>
      <c r="G181" s="476"/>
    </row>
    <row r="182" spans="1:7" s="461" customFormat="1" x14ac:dyDescent="0.25">
      <c r="A182" s="476"/>
      <c r="B182" s="476"/>
      <c r="C182" s="4"/>
      <c r="D182" s="476"/>
      <c r="E182" s="476"/>
      <c r="F182" s="476"/>
      <c r="G182" s="476"/>
    </row>
    <row r="183" spans="1:7" s="461" customFormat="1" x14ac:dyDescent="0.25">
      <c r="A183" s="476"/>
      <c r="B183" s="476"/>
      <c r="C183" s="4"/>
      <c r="D183" s="476"/>
      <c r="E183" s="476"/>
      <c r="F183" s="476"/>
      <c r="G183" s="476"/>
    </row>
    <row r="184" spans="1:7" s="461" customFormat="1" x14ac:dyDescent="0.25">
      <c r="A184" s="476"/>
      <c r="B184" s="476"/>
      <c r="C184" s="4"/>
      <c r="D184" s="476"/>
      <c r="E184" s="476"/>
      <c r="F184" s="476"/>
      <c r="G184" s="476"/>
    </row>
    <row r="185" spans="1:7" s="461" customFormat="1" x14ac:dyDescent="0.25">
      <c r="A185" s="476"/>
      <c r="B185" s="476"/>
      <c r="C185" s="4"/>
      <c r="D185" s="476"/>
      <c r="E185" s="476"/>
      <c r="F185" s="476"/>
      <c r="G185" s="476"/>
    </row>
    <row r="186" spans="1:7" s="461" customFormat="1" x14ac:dyDescent="0.25">
      <c r="A186" s="476"/>
      <c r="B186" s="476"/>
      <c r="C186" s="4"/>
      <c r="D186" s="476"/>
      <c r="E186" s="476"/>
      <c r="F186" s="476"/>
      <c r="G186" s="476"/>
    </row>
    <row r="187" spans="1:7" s="461" customFormat="1" x14ac:dyDescent="0.25">
      <c r="A187" s="476"/>
      <c r="B187" s="476"/>
      <c r="C187" s="4"/>
      <c r="D187" s="476"/>
      <c r="E187" s="476"/>
      <c r="F187" s="476"/>
      <c r="G187" s="476"/>
    </row>
    <row r="188" spans="1:7" s="461" customFormat="1" x14ac:dyDescent="0.25">
      <c r="A188" s="476"/>
      <c r="B188" s="476"/>
      <c r="C188" s="4"/>
      <c r="D188" s="476"/>
      <c r="E188" s="476"/>
      <c r="F188" s="476"/>
      <c r="G188" s="476"/>
    </row>
    <row r="189" spans="1:7" s="461" customFormat="1" x14ac:dyDescent="0.25">
      <c r="A189" s="476"/>
      <c r="B189" s="476"/>
      <c r="C189" s="4"/>
      <c r="D189" s="476"/>
      <c r="E189" s="476"/>
      <c r="F189" s="476"/>
      <c r="G189" s="476"/>
    </row>
    <row r="190" spans="1:7" s="461" customFormat="1" x14ac:dyDescent="0.25">
      <c r="A190" s="476"/>
      <c r="B190" s="476"/>
      <c r="C190" s="4"/>
      <c r="D190" s="476"/>
      <c r="E190" s="476"/>
      <c r="F190" s="476"/>
      <c r="G190" s="476"/>
    </row>
    <row r="191" spans="1:7" s="461" customFormat="1" x14ac:dyDescent="0.25">
      <c r="A191" s="476"/>
      <c r="B191" s="476"/>
      <c r="C191" s="4"/>
      <c r="D191" s="476"/>
      <c r="E191" s="476"/>
      <c r="F191" s="476"/>
      <c r="G191" s="476"/>
    </row>
    <row r="192" spans="1:7" s="461" customFormat="1" x14ac:dyDescent="0.25">
      <c r="A192" s="476"/>
      <c r="B192" s="476"/>
      <c r="C192" s="4"/>
      <c r="D192" s="476"/>
      <c r="E192" s="476"/>
      <c r="F192" s="476"/>
      <c r="G192" s="476"/>
    </row>
    <row r="193" spans="1:7" s="461" customFormat="1" x14ac:dyDescent="0.25">
      <c r="A193" s="476"/>
      <c r="B193" s="476"/>
      <c r="C193" s="4"/>
      <c r="D193" s="476"/>
      <c r="E193" s="476"/>
      <c r="F193" s="476"/>
      <c r="G193" s="476"/>
    </row>
    <row r="194" spans="1:7" s="461" customFormat="1" x14ac:dyDescent="0.25">
      <c r="A194" s="476"/>
      <c r="B194" s="476"/>
      <c r="C194" s="4"/>
      <c r="D194" s="476"/>
      <c r="E194" s="476"/>
      <c r="F194" s="476"/>
      <c r="G194" s="476"/>
    </row>
    <row r="195" spans="1:7" s="461" customFormat="1" x14ac:dyDescent="0.25">
      <c r="A195" s="476"/>
      <c r="B195" s="476"/>
      <c r="C195" s="4"/>
      <c r="D195" s="476"/>
      <c r="E195" s="476"/>
      <c r="F195" s="476"/>
      <c r="G195" s="476"/>
    </row>
    <row r="196" spans="1:7" s="461" customFormat="1" x14ac:dyDescent="0.25">
      <c r="A196" s="476"/>
      <c r="B196" s="476"/>
      <c r="C196" s="4"/>
      <c r="D196" s="476"/>
      <c r="E196" s="476"/>
      <c r="F196" s="476"/>
      <c r="G196" s="476"/>
    </row>
    <row r="197" spans="1:7" s="461" customFormat="1" x14ac:dyDescent="0.25">
      <c r="A197" s="476"/>
      <c r="B197" s="476"/>
      <c r="C197" s="4"/>
      <c r="D197" s="476"/>
      <c r="E197" s="476"/>
      <c r="F197" s="476"/>
      <c r="G197" s="476"/>
    </row>
    <row r="198" spans="1:7" s="461" customFormat="1" x14ac:dyDescent="0.25">
      <c r="A198" s="476"/>
      <c r="B198" s="476"/>
      <c r="C198" s="4"/>
      <c r="D198" s="476"/>
      <c r="E198" s="476"/>
      <c r="F198" s="476"/>
      <c r="G198" s="476"/>
    </row>
    <row r="199" spans="1:7" s="461" customFormat="1" x14ac:dyDescent="0.25">
      <c r="A199" s="476"/>
      <c r="B199" s="476"/>
      <c r="C199" s="4"/>
      <c r="D199" s="476"/>
      <c r="E199" s="476"/>
      <c r="F199" s="476"/>
      <c r="G199" s="476"/>
    </row>
    <row r="200" spans="1:7" s="461" customFormat="1" x14ac:dyDescent="0.25">
      <c r="A200" s="476"/>
      <c r="B200" s="476"/>
      <c r="C200" s="4"/>
      <c r="D200" s="476"/>
      <c r="E200" s="476"/>
      <c r="F200" s="476"/>
      <c r="G200" s="476"/>
    </row>
    <row r="201" spans="1:7" s="461" customFormat="1" x14ac:dyDescent="0.25">
      <c r="A201" s="476"/>
      <c r="B201" s="476"/>
      <c r="C201" s="4"/>
      <c r="D201" s="476"/>
      <c r="E201" s="476"/>
      <c r="F201" s="476"/>
      <c r="G201" s="476"/>
    </row>
    <row r="202" spans="1:7" s="461" customFormat="1" x14ac:dyDescent="0.25">
      <c r="A202" s="476"/>
      <c r="B202" s="476"/>
      <c r="C202" s="4"/>
      <c r="D202" s="476"/>
      <c r="E202" s="476"/>
      <c r="F202" s="476"/>
      <c r="G202" s="476"/>
    </row>
    <row r="203" spans="1:7" s="461" customFormat="1" x14ac:dyDescent="0.25">
      <c r="A203" s="476"/>
      <c r="B203" s="476"/>
      <c r="C203" s="4"/>
      <c r="D203" s="476"/>
      <c r="E203" s="476"/>
      <c r="F203" s="476"/>
      <c r="G203" s="476"/>
    </row>
    <row r="204" spans="1:7" s="461" customFormat="1" x14ac:dyDescent="0.25">
      <c r="A204" s="476"/>
      <c r="B204" s="476"/>
      <c r="C204" s="4"/>
      <c r="D204" s="476"/>
      <c r="E204" s="476"/>
      <c r="F204" s="476"/>
      <c r="G204" s="476"/>
    </row>
    <row r="205" spans="1:7" s="461" customFormat="1" x14ac:dyDescent="0.25">
      <c r="A205" s="476"/>
      <c r="B205" s="476"/>
      <c r="C205" s="4"/>
      <c r="D205" s="476"/>
      <c r="E205" s="476"/>
      <c r="F205" s="476"/>
      <c r="G205" s="476"/>
    </row>
    <row r="206" spans="1:7" s="461" customFormat="1" x14ac:dyDescent="0.25">
      <c r="A206" s="476"/>
      <c r="B206" s="476"/>
      <c r="C206" s="4"/>
      <c r="D206" s="476"/>
      <c r="E206" s="476"/>
      <c r="F206" s="476"/>
      <c r="G206" s="476"/>
    </row>
    <row r="207" spans="1:7" s="461" customFormat="1" x14ac:dyDescent="0.25">
      <c r="A207" s="476"/>
      <c r="B207" s="476"/>
      <c r="C207" s="4"/>
      <c r="D207" s="476"/>
      <c r="E207" s="476"/>
      <c r="F207" s="476"/>
      <c r="G207" s="476"/>
    </row>
    <row r="208" spans="1:7" s="461" customFormat="1" x14ac:dyDescent="0.25">
      <c r="A208" s="476"/>
      <c r="B208" s="476"/>
      <c r="C208" s="4"/>
      <c r="D208" s="476"/>
      <c r="E208" s="476"/>
      <c r="F208" s="476"/>
      <c r="G208" s="476"/>
    </row>
    <row r="209" spans="1:7" s="461" customFormat="1" x14ac:dyDescent="0.25">
      <c r="A209" s="476"/>
      <c r="B209" s="476"/>
      <c r="C209" s="4"/>
      <c r="D209" s="476"/>
      <c r="E209" s="476"/>
      <c r="F209" s="476"/>
      <c r="G209" s="476"/>
    </row>
    <row r="210" spans="1:7" s="461" customFormat="1" x14ac:dyDescent="0.25">
      <c r="A210" s="476"/>
      <c r="B210" s="476"/>
      <c r="C210" s="4"/>
      <c r="D210" s="476"/>
      <c r="E210" s="476"/>
      <c r="F210" s="476"/>
      <c r="G210" s="476"/>
    </row>
    <row r="211" spans="1:7" s="461" customFormat="1" x14ac:dyDescent="0.25">
      <c r="A211" s="476"/>
      <c r="B211" s="476"/>
      <c r="C211" s="4"/>
      <c r="D211" s="476"/>
      <c r="E211" s="476"/>
      <c r="F211" s="476"/>
      <c r="G211" s="476"/>
    </row>
    <row r="212" spans="1:7" s="461" customFormat="1" x14ac:dyDescent="0.25">
      <c r="A212" s="476"/>
      <c r="B212" s="476"/>
      <c r="C212" s="4"/>
      <c r="D212" s="476"/>
      <c r="E212" s="476"/>
      <c r="F212" s="476"/>
      <c r="G212" s="476"/>
    </row>
    <row r="213" spans="1:7" s="461" customFormat="1" x14ac:dyDescent="0.25">
      <c r="A213" s="476"/>
      <c r="B213" s="476"/>
      <c r="C213" s="4"/>
      <c r="D213" s="476"/>
      <c r="E213" s="476"/>
      <c r="F213" s="476"/>
      <c r="G213" s="476"/>
    </row>
    <row r="214" spans="1:7" s="461" customFormat="1" x14ac:dyDescent="0.25">
      <c r="A214" s="476"/>
      <c r="B214" s="476"/>
      <c r="C214" s="4"/>
      <c r="D214" s="476"/>
      <c r="E214" s="476"/>
      <c r="F214" s="476"/>
      <c r="G214" s="476"/>
    </row>
    <row r="215" spans="1:7" s="461" customFormat="1" x14ac:dyDescent="0.25">
      <c r="A215" s="476"/>
      <c r="B215" s="476"/>
      <c r="C215" s="4"/>
      <c r="D215" s="476"/>
      <c r="E215" s="476"/>
      <c r="F215" s="476"/>
      <c r="G215" s="476"/>
    </row>
    <row r="216" spans="1:7" s="461" customFormat="1" x14ac:dyDescent="0.25">
      <c r="A216" s="476"/>
      <c r="B216" s="476"/>
      <c r="C216" s="4"/>
      <c r="D216" s="476"/>
      <c r="E216" s="476"/>
      <c r="F216" s="476"/>
      <c r="G216" s="476"/>
    </row>
    <row r="217" spans="1:7" s="461" customFormat="1" x14ac:dyDescent="0.25">
      <c r="A217" s="476"/>
      <c r="B217" s="476"/>
      <c r="C217" s="4"/>
      <c r="D217" s="476"/>
      <c r="E217" s="476"/>
      <c r="F217" s="476"/>
      <c r="G217" s="476"/>
    </row>
    <row r="218" spans="1:7" s="461" customFormat="1" x14ac:dyDescent="0.25">
      <c r="A218" s="476"/>
      <c r="B218" s="476"/>
      <c r="C218" s="4"/>
      <c r="D218" s="476"/>
      <c r="E218" s="476"/>
      <c r="F218" s="476"/>
      <c r="G218" s="476"/>
    </row>
    <row r="219" spans="1:7" s="461" customFormat="1" x14ac:dyDescent="0.25">
      <c r="A219" s="484"/>
      <c r="B219" s="476"/>
      <c r="C219" s="4"/>
      <c r="D219" s="476"/>
      <c r="E219" s="476"/>
      <c r="F219" s="476"/>
      <c r="G219" s="476"/>
    </row>
    <row r="220" spans="1:7" s="461" customFormat="1" x14ac:dyDescent="0.25">
      <c r="A220" s="484"/>
      <c r="B220" s="476"/>
      <c r="C220" s="4"/>
      <c r="D220" s="476"/>
      <c r="E220" s="476"/>
      <c r="F220" s="476"/>
      <c r="G220" s="476"/>
    </row>
    <row r="221" spans="1:7" x14ac:dyDescent="0.25">
      <c r="A221" s="484"/>
      <c r="B221" s="476"/>
      <c r="C221" s="4"/>
      <c r="D221" s="476"/>
      <c r="E221" s="476"/>
      <c r="F221" s="476"/>
      <c r="G221" s="476"/>
    </row>
    <row r="222" spans="1:7" ht="24.75" customHeight="1" x14ac:dyDescent="0.25">
      <c r="A222" s="484"/>
      <c r="B222" s="476"/>
      <c r="C222" s="4"/>
      <c r="D222" s="476"/>
      <c r="E222" s="476"/>
      <c r="F222" s="476"/>
      <c r="G222" s="476"/>
    </row>
    <row r="223" spans="1:7" ht="24.75" customHeight="1" x14ac:dyDescent="0.25">
      <c r="A223" s="484"/>
      <c r="B223" s="476"/>
      <c r="C223" s="4"/>
      <c r="D223" s="476"/>
      <c r="E223" s="476"/>
      <c r="F223" s="476"/>
      <c r="G223" s="476"/>
    </row>
    <row r="224" spans="1:7" x14ac:dyDescent="0.25">
      <c r="A224" s="484"/>
      <c r="B224" s="476"/>
      <c r="C224" s="4"/>
      <c r="D224" s="476"/>
      <c r="E224" s="476"/>
      <c r="F224" s="476"/>
      <c r="G224" s="476"/>
    </row>
    <row r="225" spans="1:7" ht="31.5" customHeight="1" x14ac:dyDescent="0.25">
      <c r="A225" s="484"/>
      <c r="B225" s="476"/>
      <c r="C225" s="4"/>
      <c r="D225" s="476"/>
      <c r="E225" s="476"/>
      <c r="F225" s="476"/>
      <c r="G225" s="476"/>
    </row>
    <row r="226" spans="1:7" ht="42" customHeight="1" x14ac:dyDescent="0.25">
      <c r="A226" s="484"/>
      <c r="B226" s="476"/>
      <c r="C226" s="4"/>
      <c r="D226" s="476"/>
      <c r="E226" s="476"/>
      <c r="F226" s="476"/>
      <c r="G226" s="476"/>
    </row>
    <row r="227" spans="1:7" ht="15" customHeight="1" x14ac:dyDescent="0.25">
      <c r="A227" s="484"/>
      <c r="B227" s="476"/>
      <c r="C227" s="4"/>
      <c r="D227" s="476"/>
      <c r="E227" s="476"/>
      <c r="F227" s="476"/>
      <c r="G227" s="476"/>
    </row>
    <row r="228" spans="1:7" ht="31.5" customHeight="1" x14ac:dyDescent="0.25">
      <c r="A228" s="484"/>
      <c r="B228" s="476"/>
      <c r="C228" s="4"/>
      <c r="D228" s="476"/>
      <c r="E228" s="476"/>
      <c r="F228" s="476"/>
      <c r="G228" s="476"/>
    </row>
    <row r="229" spans="1:7" ht="15" customHeight="1" x14ac:dyDescent="0.25">
      <c r="A229" s="484"/>
      <c r="B229" s="476"/>
      <c r="C229" s="4"/>
      <c r="D229" s="476"/>
      <c r="E229" s="476"/>
      <c r="F229" s="476"/>
      <c r="G229" s="476"/>
    </row>
    <row r="230" spans="1:7" ht="36" customHeight="1" x14ac:dyDescent="0.25">
      <c r="A230" s="484"/>
      <c r="B230" s="476"/>
      <c r="C230" s="4"/>
      <c r="D230" s="476"/>
      <c r="E230" s="476"/>
      <c r="F230" s="476"/>
      <c r="G230" s="476"/>
    </row>
    <row r="231" spans="1:7" x14ac:dyDescent="0.25">
      <c r="A231" s="484"/>
      <c r="B231" s="476"/>
      <c r="C231" s="4"/>
      <c r="D231" s="476"/>
      <c r="E231" s="476"/>
      <c r="F231" s="476"/>
      <c r="G231" s="476"/>
    </row>
    <row r="232" spans="1:7" x14ac:dyDescent="0.25">
      <c r="A232" s="484"/>
      <c r="B232" s="476"/>
      <c r="C232" s="4"/>
      <c r="D232" s="476"/>
      <c r="E232" s="476"/>
      <c r="F232" s="476"/>
      <c r="G232" s="476"/>
    </row>
    <row r="233" spans="1:7" ht="5.25" customHeight="1" x14ac:dyDescent="0.25">
      <c r="A233" s="484"/>
      <c r="B233" s="476"/>
      <c r="C233" s="4"/>
      <c r="D233" s="476"/>
      <c r="E233" s="476"/>
      <c r="F233" s="476"/>
      <c r="G233" s="476"/>
    </row>
    <row r="234" spans="1:7" x14ac:dyDescent="0.25">
      <c r="A234" s="484"/>
      <c r="B234" s="476"/>
      <c r="C234" s="4"/>
      <c r="D234" s="476"/>
      <c r="E234" s="476"/>
      <c r="F234" s="476"/>
      <c r="G234" s="476"/>
    </row>
    <row r="235" spans="1:7" ht="53.25" customHeight="1" x14ac:dyDescent="0.25">
      <c r="A235" s="484"/>
      <c r="B235" s="476"/>
      <c r="C235" s="4"/>
      <c r="D235" s="476"/>
      <c r="E235" s="476"/>
      <c r="F235" s="476"/>
      <c r="G235" s="476"/>
    </row>
    <row r="236" spans="1:7" x14ac:dyDescent="0.25">
      <c r="A236" s="484"/>
      <c r="B236" s="476"/>
      <c r="C236" s="4"/>
      <c r="D236" s="476"/>
      <c r="E236" s="476"/>
      <c r="F236" s="476"/>
      <c r="G236" s="476"/>
    </row>
    <row r="237" spans="1:7" x14ac:dyDescent="0.25">
      <c r="A237" s="484"/>
      <c r="B237" s="476"/>
      <c r="C237" s="4"/>
      <c r="D237" s="476"/>
      <c r="E237" s="476"/>
      <c r="F237" s="476"/>
      <c r="G237" s="476"/>
    </row>
    <row r="238" spans="1:7" ht="6" customHeight="1" x14ac:dyDescent="0.25">
      <c r="A238" s="484"/>
      <c r="B238" s="476"/>
      <c r="C238" s="4"/>
      <c r="D238" s="476"/>
      <c r="E238" s="476"/>
      <c r="F238" s="476"/>
      <c r="G238" s="476"/>
    </row>
    <row r="239" spans="1:7" x14ac:dyDescent="0.25">
      <c r="A239" s="484"/>
      <c r="B239" s="476"/>
      <c r="C239" s="4"/>
      <c r="D239" s="476"/>
      <c r="E239" s="476"/>
      <c r="F239" s="476"/>
      <c r="G239" s="476"/>
    </row>
    <row r="240" spans="1:7" ht="54.75" customHeight="1" x14ac:dyDescent="0.25">
      <c r="A240" s="484"/>
      <c r="B240" s="476"/>
      <c r="C240" s="4"/>
      <c r="D240" s="476"/>
      <c r="E240" s="476"/>
      <c r="F240" s="476"/>
      <c r="G240" s="476"/>
    </row>
    <row r="241" spans="1:7" ht="15" customHeight="1" x14ac:dyDescent="0.25">
      <c r="A241" s="484"/>
      <c r="B241" s="476"/>
      <c r="C241" s="4"/>
      <c r="D241" s="476"/>
      <c r="E241" s="476"/>
      <c r="F241" s="476"/>
      <c r="G241" s="476"/>
    </row>
    <row r="242" spans="1:7" x14ac:dyDescent="0.25">
      <c r="A242" s="484"/>
      <c r="B242" s="476"/>
      <c r="C242" s="4"/>
      <c r="D242" s="476"/>
      <c r="E242" s="476"/>
      <c r="F242" s="476"/>
      <c r="G242" s="476"/>
    </row>
    <row r="243" spans="1:7" ht="9" customHeight="1" x14ac:dyDescent="0.25">
      <c r="A243" s="484"/>
      <c r="B243" s="476"/>
      <c r="C243" s="4"/>
      <c r="D243" s="476"/>
      <c r="E243" s="476"/>
      <c r="F243" s="476"/>
      <c r="G243" s="476"/>
    </row>
    <row r="244" spans="1:7" x14ac:dyDescent="0.25">
      <c r="A244" s="476"/>
      <c r="B244" s="476"/>
      <c r="C244" s="4"/>
      <c r="D244" s="476"/>
      <c r="E244" s="476"/>
      <c r="F244" s="476"/>
      <c r="G244" s="476"/>
    </row>
    <row r="245" spans="1:7" ht="62.25" customHeight="1" x14ac:dyDescent="0.25">
      <c r="A245" s="476"/>
      <c r="B245" s="476"/>
      <c r="C245" s="4"/>
      <c r="D245" s="476"/>
      <c r="E245" s="476"/>
      <c r="F245" s="476"/>
      <c r="G245" s="476"/>
    </row>
    <row r="246" spans="1:7" x14ac:dyDescent="0.25">
      <c r="A246" s="476"/>
      <c r="B246" s="476"/>
      <c r="C246" s="4"/>
      <c r="D246" s="476"/>
      <c r="E246" s="476"/>
      <c r="F246" s="476"/>
      <c r="G246" s="476"/>
    </row>
    <row r="247" spans="1:7" x14ac:dyDescent="0.25">
      <c r="A247" s="476"/>
      <c r="B247" s="476"/>
      <c r="C247" s="4"/>
      <c r="D247" s="476"/>
      <c r="E247" s="476"/>
      <c r="F247" s="476"/>
      <c r="G247" s="476"/>
    </row>
    <row r="248" spans="1:7" x14ac:dyDescent="0.25">
      <c r="A248" s="476"/>
      <c r="B248" s="476"/>
      <c r="C248" s="4"/>
      <c r="D248" s="476"/>
      <c r="E248" s="476"/>
      <c r="F248" s="476"/>
      <c r="G248" s="476"/>
    </row>
    <row r="249" spans="1:7" x14ac:dyDescent="0.25">
      <c r="A249" s="476"/>
      <c r="B249" s="476"/>
      <c r="C249" s="4"/>
      <c r="D249" s="476"/>
      <c r="E249" s="476"/>
      <c r="F249" s="476"/>
      <c r="G249" s="476"/>
    </row>
    <row r="250" spans="1:7" x14ac:dyDescent="0.25">
      <c r="A250" s="476"/>
      <c r="B250" s="476"/>
      <c r="C250" s="4"/>
      <c r="D250" s="476"/>
      <c r="E250" s="476"/>
      <c r="F250" s="476"/>
      <c r="G250" s="476"/>
    </row>
    <row r="251" spans="1:7" x14ac:dyDescent="0.25">
      <c r="A251" s="476"/>
      <c r="B251" s="476"/>
      <c r="C251" s="4"/>
      <c r="D251" s="476"/>
      <c r="E251" s="476"/>
      <c r="F251" s="476"/>
      <c r="G251" s="476"/>
    </row>
    <row r="252" spans="1:7" x14ac:dyDescent="0.25">
      <c r="A252" s="476"/>
      <c r="B252" s="476"/>
      <c r="C252" s="4"/>
      <c r="D252" s="476"/>
      <c r="E252" s="476"/>
      <c r="F252" s="476"/>
      <c r="G252" s="476"/>
    </row>
    <row r="253" spans="1:7" x14ac:dyDescent="0.25">
      <c r="A253" s="476"/>
      <c r="B253" s="476"/>
      <c r="C253" s="4"/>
      <c r="D253" s="476"/>
      <c r="E253" s="476"/>
      <c r="F253" s="476"/>
      <c r="G253" s="476"/>
    </row>
    <row r="254" spans="1:7" x14ac:dyDescent="0.25">
      <c r="A254" s="476"/>
      <c r="B254" s="476"/>
      <c r="C254" s="4"/>
      <c r="D254" s="476"/>
      <c r="E254" s="476"/>
      <c r="F254" s="476"/>
      <c r="G254" s="476"/>
    </row>
    <row r="255" spans="1:7" x14ac:dyDescent="0.25">
      <c r="A255" s="476"/>
      <c r="B255" s="476"/>
      <c r="C255" s="4"/>
      <c r="D255" s="476"/>
      <c r="E255" s="476"/>
      <c r="F255" s="476"/>
      <c r="G255" s="476"/>
    </row>
    <row r="256" spans="1:7" x14ac:dyDescent="0.25">
      <c r="A256" s="476"/>
      <c r="B256" s="476"/>
      <c r="C256" s="4"/>
      <c r="D256" s="476"/>
      <c r="E256" s="476"/>
      <c r="F256" s="476"/>
      <c r="G256" s="476"/>
    </row>
    <row r="257" spans="1:7" x14ac:dyDescent="0.25">
      <c r="A257" s="476"/>
      <c r="B257" s="476"/>
      <c r="C257" s="4"/>
      <c r="D257" s="476"/>
      <c r="E257" s="476"/>
      <c r="F257" s="476"/>
      <c r="G257" s="476"/>
    </row>
    <row r="258" spans="1:7" x14ac:dyDescent="0.25">
      <c r="A258" s="476"/>
      <c r="B258" s="476"/>
      <c r="C258" s="4"/>
      <c r="D258" s="476"/>
      <c r="E258" s="476"/>
      <c r="F258" s="476"/>
      <c r="G258" s="476"/>
    </row>
    <row r="259" spans="1:7" x14ac:dyDescent="0.25">
      <c r="A259" s="476"/>
      <c r="B259" s="476"/>
      <c r="C259" s="4"/>
      <c r="D259" s="476"/>
      <c r="E259" s="476"/>
      <c r="F259" s="476"/>
      <c r="G259" s="476"/>
    </row>
    <row r="260" spans="1:7" x14ac:dyDescent="0.25">
      <c r="A260" s="476"/>
      <c r="B260" s="476"/>
      <c r="C260" s="4"/>
      <c r="D260" s="476"/>
      <c r="E260" s="476"/>
      <c r="F260" s="476"/>
      <c r="G260" s="476"/>
    </row>
    <row r="261" spans="1:7" x14ac:dyDescent="0.25">
      <c r="A261" s="476"/>
      <c r="B261" s="476"/>
      <c r="C261" s="4"/>
      <c r="D261" s="476"/>
      <c r="E261" s="476"/>
      <c r="F261" s="476"/>
      <c r="G261" s="476"/>
    </row>
    <row r="262" spans="1:7" x14ac:dyDescent="0.25">
      <c r="A262" s="476"/>
      <c r="B262" s="476"/>
      <c r="C262" s="4"/>
      <c r="D262" s="476"/>
      <c r="E262" s="476"/>
      <c r="F262" s="476"/>
      <c r="G262" s="476"/>
    </row>
  </sheetData>
  <sheetProtection password="CC70" sheet="1" objects="1" scenarios="1"/>
  <pageMargins left="0.17" right="0.7" top="0.75" bottom="0.75" header="0.3" footer="0.3"/>
  <pageSetup paperSize="9" orientation="portrait" horizontalDpi="4294967295"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120" zoomScaleNormal="120" workbookViewId="0">
      <selection activeCell="G26" sqref="G26"/>
    </sheetView>
  </sheetViews>
  <sheetFormatPr baseColWidth="10" defaultRowHeight="15" x14ac:dyDescent="0.25"/>
  <cols>
    <col min="1" max="1" width="10.28515625" customWidth="1"/>
    <col min="2" max="2" width="4.28515625" style="211" customWidth="1"/>
    <col min="3" max="3" width="2.28515625" style="211" customWidth="1"/>
    <col min="4" max="4" width="8.42578125" customWidth="1"/>
    <col min="5" max="5" width="5.5703125" customWidth="1"/>
    <col min="6" max="6" width="4.42578125" style="211" customWidth="1"/>
    <col min="7" max="7" width="3.85546875" customWidth="1"/>
    <col min="8" max="8" width="16.42578125" customWidth="1"/>
    <col min="9" max="9" width="4.42578125" style="211" customWidth="1"/>
  </cols>
  <sheetData>
    <row r="1" spans="1:10" ht="20.25" x14ac:dyDescent="0.4">
      <c r="A1" s="465" t="s">
        <v>445</v>
      </c>
      <c r="D1" s="461"/>
      <c r="E1" s="461"/>
      <c r="G1" s="461"/>
      <c r="H1" s="461"/>
      <c r="J1" s="461"/>
    </row>
    <row r="2" spans="1:10" x14ac:dyDescent="0.25">
      <c r="A2" s="461"/>
      <c r="D2" s="461"/>
      <c r="E2" s="461"/>
      <c r="G2" s="461"/>
      <c r="H2" s="461"/>
      <c r="J2" s="461"/>
    </row>
    <row r="3" spans="1:10" x14ac:dyDescent="0.25">
      <c r="A3" s="466" t="s">
        <v>446</v>
      </c>
      <c r="D3" s="461"/>
      <c r="E3" s="461"/>
      <c r="G3" s="461"/>
      <c r="H3" s="461"/>
      <c r="J3" s="461"/>
    </row>
    <row r="4" spans="1:10" ht="15.75" thickBot="1" x14ac:dyDescent="0.3">
      <c r="A4" s="461"/>
      <c r="D4" s="461"/>
      <c r="E4" s="461"/>
      <c r="G4" s="461"/>
      <c r="H4" s="461"/>
      <c r="J4" s="461"/>
    </row>
    <row r="5" spans="1:10" ht="15.75" thickBot="1" x14ac:dyDescent="0.3">
      <c r="A5" s="461" t="s">
        <v>447</v>
      </c>
      <c r="B5" s="388">
        <v>0.5</v>
      </c>
      <c r="C5" s="211" t="s">
        <v>4</v>
      </c>
      <c r="D5" s="461"/>
      <c r="E5" s="9" t="s">
        <v>448</v>
      </c>
      <c r="F5" s="388">
        <v>97</v>
      </c>
      <c r="G5" s="461" t="s">
        <v>449</v>
      </c>
      <c r="H5" s="461" t="s">
        <v>450</v>
      </c>
      <c r="I5" s="388">
        <v>55</v>
      </c>
      <c r="J5" s="461" t="s">
        <v>449</v>
      </c>
    </row>
    <row r="6" spans="1:10" ht="15.75" thickBot="1" x14ac:dyDescent="0.3">
      <c r="A6" s="461"/>
      <c r="D6" s="461"/>
      <c r="E6" s="461"/>
      <c r="G6" s="461"/>
      <c r="H6" s="461"/>
      <c r="J6" s="461"/>
    </row>
    <row r="7" spans="1:10" ht="15.75" thickBot="1" x14ac:dyDescent="0.3">
      <c r="A7" s="461" t="s">
        <v>3</v>
      </c>
      <c r="B7" s="11">
        <f>B5*((F5/I5) - 1)</f>
        <v>0.38181818181818183</v>
      </c>
      <c r="C7" s="211" t="s">
        <v>4</v>
      </c>
      <c r="D7" s="461" t="s">
        <v>451</v>
      </c>
      <c r="E7" s="461"/>
      <c r="G7" s="461"/>
      <c r="H7" s="461"/>
      <c r="J7" s="461"/>
    </row>
    <row r="8" spans="1:10" x14ac:dyDescent="0.25">
      <c r="A8" s="461"/>
      <c r="D8" s="461"/>
      <c r="E8" s="461"/>
      <c r="G8" s="461"/>
      <c r="H8" s="461"/>
      <c r="J8" s="461"/>
    </row>
    <row r="9" spans="1:10" x14ac:dyDescent="0.25">
      <c r="A9" s="461"/>
      <c r="D9" s="461"/>
      <c r="E9" s="461"/>
      <c r="G9" s="461"/>
      <c r="H9" s="461"/>
      <c r="J9" s="461"/>
    </row>
    <row r="10" spans="1:10" x14ac:dyDescent="0.25">
      <c r="A10" s="461"/>
      <c r="D10" s="461"/>
      <c r="E10" s="461"/>
      <c r="G10" s="461"/>
      <c r="H10" s="461"/>
      <c r="J10" s="461"/>
    </row>
    <row r="11" spans="1:10" x14ac:dyDescent="0.25">
      <c r="A11" s="466" t="s">
        <v>452</v>
      </c>
      <c r="D11" s="461"/>
      <c r="E11" s="461"/>
      <c r="G11" s="461"/>
      <c r="H11" s="461"/>
      <c r="J11" s="461"/>
    </row>
    <row r="12" spans="1:10" x14ac:dyDescent="0.25">
      <c r="A12" s="461"/>
      <c r="D12" s="461"/>
      <c r="E12" s="461"/>
      <c r="G12" s="461"/>
      <c r="H12" s="461"/>
      <c r="J12" s="461"/>
    </row>
    <row r="13" spans="1:10" ht="15.75" thickBot="1" x14ac:dyDescent="0.3">
      <c r="A13" s="461"/>
      <c r="D13" s="461"/>
      <c r="E13" s="461"/>
      <c r="G13" s="461"/>
      <c r="H13" s="461"/>
      <c r="J13" s="461"/>
    </row>
    <row r="14" spans="1:10" ht="15.75" thickBot="1" x14ac:dyDescent="0.3">
      <c r="A14" s="461" t="s">
        <v>453</v>
      </c>
      <c r="B14" s="388">
        <v>12</v>
      </c>
      <c r="C14" s="211" t="s">
        <v>4</v>
      </c>
      <c r="D14" s="461"/>
      <c r="E14" s="9" t="s">
        <v>540</v>
      </c>
      <c r="F14" s="388">
        <v>37</v>
      </c>
      <c r="G14" s="461" t="s">
        <v>449</v>
      </c>
      <c r="H14" s="9" t="s">
        <v>539</v>
      </c>
      <c r="I14" s="388">
        <v>96</v>
      </c>
      <c r="J14" s="461" t="s">
        <v>449</v>
      </c>
    </row>
    <row r="15" spans="1:10" s="462" customFormat="1" x14ac:dyDescent="0.25">
      <c r="B15" s="4"/>
      <c r="C15" s="211"/>
      <c r="E15" s="9"/>
      <c r="F15" s="4"/>
      <c r="H15" s="9"/>
      <c r="I15" s="4"/>
    </row>
    <row r="16" spans="1:10" ht="15.75" thickBot="1" x14ac:dyDescent="0.3">
      <c r="A16" s="461" t="s">
        <v>541</v>
      </c>
      <c r="D16" s="461"/>
      <c r="E16" s="461"/>
      <c r="G16" s="461"/>
      <c r="H16" s="461"/>
      <c r="J16" s="461"/>
    </row>
    <row r="17" spans="1:10" ht="15.75" thickBot="1" x14ac:dyDescent="0.3">
      <c r="A17" s="461" t="s">
        <v>454</v>
      </c>
      <c r="B17" s="11">
        <f>B14*(F14/I14)</f>
        <v>4.625</v>
      </c>
      <c r="C17" s="211" t="s">
        <v>455</v>
      </c>
      <c r="D17" s="461" t="s">
        <v>456</v>
      </c>
      <c r="E17" s="461"/>
      <c r="G17" s="461"/>
      <c r="H17" s="461"/>
      <c r="J17" s="461"/>
    </row>
    <row r="18" spans="1:10" ht="15.75" thickBot="1" x14ac:dyDescent="0.3">
      <c r="A18" s="461"/>
      <c r="B18" s="217"/>
      <c r="D18" s="461"/>
      <c r="E18" s="461"/>
      <c r="G18" s="461"/>
    </row>
    <row r="19" spans="1:10" ht="15.75" thickBot="1" x14ac:dyDescent="0.3">
      <c r="A19" s="461" t="s">
        <v>457</v>
      </c>
      <c r="B19" s="11">
        <f>B14-B17</f>
        <v>7.375</v>
      </c>
      <c r="C19" s="211" t="s">
        <v>455</v>
      </c>
      <c r="D19" s="461" t="s">
        <v>451</v>
      </c>
      <c r="E19" s="461"/>
      <c r="G19" s="461"/>
      <c r="H19" s="461"/>
      <c r="J19" s="461"/>
    </row>
    <row r="20" spans="1:10" x14ac:dyDescent="0.25">
      <c r="A20" s="461"/>
      <c r="D20" s="461"/>
      <c r="E20" s="461"/>
      <c r="G20" s="461"/>
      <c r="H20" s="461"/>
      <c r="J20" s="461"/>
    </row>
    <row r="21" spans="1:10" x14ac:dyDescent="0.25">
      <c r="A21" s="461"/>
      <c r="D21" s="461"/>
      <c r="E21" s="461"/>
      <c r="G21" s="461"/>
      <c r="H21" s="461"/>
      <c r="J21" s="461"/>
    </row>
  </sheetData>
  <sheetProtection password="CC70" sheet="1" objects="1" scenarios="1"/>
  <pageMargins left="0.7" right="0.7" top="0.75" bottom="0.75" header="0.3" footer="0.3"/>
  <pageSetup paperSize="9" orientation="portrait" horizontalDpi="4294967295" verticalDpi="0" r:id="rId1"/>
  <headerFooter>
    <oddFooter>&amp;C&amp;F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6"/>
  <sheetViews>
    <sheetView zoomScale="110" zoomScaleNormal="110" workbookViewId="0">
      <pane xSplit="7" ySplit="3" topLeftCell="H23" activePane="bottomRight" state="frozenSplit"/>
      <selection pane="topRight" activeCell="AF1" sqref="AF1:AF1048576"/>
      <selection pane="bottomLeft" activeCell="B6" sqref="B6"/>
      <selection pane="bottomRight" activeCell="AD20" sqref="AD20"/>
    </sheetView>
  </sheetViews>
  <sheetFormatPr baseColWidth="10" defaultRowHeight="15" x14ac:dyDescent="0.25"/>
  <cols>
    <col min="1" max="1" width="8.140625" style="516" customWidth="1"/>
    <col min="2" max="2" width="17.85546875" style="516" customWidth="1"/>
    <col min="3" max="3" width="40.5703125" style="516" customWidth="1"/>
    <col min="4" max="4" width="12.5703125" style="9" customWidth="1"/>
    <col min="5" max="5" width="4.42578125" style="516" customWidth="1"/>
    <col min="6" max="6" width="2.28515625" style="516" customWidth="1"/>
    <col min="7" max="7" width="11" style="516" customWidth="1"/>
    <col min="8" max="8" width="6.140625" style="516" customWidth="1"/>
    <col min="9" max="24" width="4.85546875" style="516" customWidth="1"/>
    <col min="25" max="25" width="11.42578125" style="516"/>
    <col min="26" max="26" width="4.7109375" style="516" customWidth="1"/>
    <col min="27" max="27" width="6.85546875" style="516" customWidth="1"/>
    <col min="28" max="28" width="3.85546875" style="516" customWidth="1"/>
    <col min="29" max="29" width="14.140625" style="516" customWidth="1"/>
    <col min="30" max="30" width="5" style="516" customWidth="1"/>
    <col min="31" max="31" width="11.42578125" style="516"/>
    <col min="32" max="32" width="11.42578125" style="516" hidden="1" customWidth="1"/>
    <col min="33" max="16384" width="11.42578125" style="516"/>
  </cols>
  <sheetData>
    <row r="1" spans="1:32" ht="23.25" x14ac:dyDescent="0.35">
      <c r="B1" s="669" t="s">
        <v>96</v>
      </c>
      <c r="C1" s="669"/>
      <c r="D1" s="669"/>
      <c r="J1" s="565"/>
      <c r="K1" s="566" t="s">
        <v>666</v>
      </c>
      <c r="L1" s="565"/>
      <c r="M1" s="565"/>
      <c r="N1" s="565"/>
      <c r="O1" s="565"/>
      <c r="P1" s="565"/>
      <c r="Q1" s="565"/>
      <c r="R1" s="565"/>
      <c r="S1" s="565"/>
      <c r="T1" s="565"/>
      <c r="AC1" s="519" t="s">
        <v>635</v>
      </c>
      <c r="AF1" s="428" t="s">
        <v>673</v>
      </c>
    </row>
    <row r="2" spans="1:32" ht="9" customHeight="1" thickBot="1" x14ac:dyDescent="0.3">
      <c r="B2" s="516" t="s">
        <v>97</v>
      </c>
      <c r="AF2" s="428" t="s">
        <v>674</v>
      </c>
    </row>
    <row r="3" spans="1:32" s="81" customFormat="1" ht="22.5" customHeight="1" thickTop="1" x14ac:dyDescent="0.25">
      <c r="A3" s="670" t="s">
        <v>98</v>
      </c>
      <c r="B3" s="671"/>
      <c r="C3" s="93" t="s">
        <v>99</v>
      </c>
      <c r="D3" s="259">
        <v>1006</v>
      </c>
      <c r="E3" s="80"/>
      <c r="G3" s="397" t="s">
        <v>119</v>
      </c>
      <c r="H3" s="396" t="s">
        <v>36</v>
      </c>
      <c r="I3" s="88">
        <v>1150</v>
      </c>
      <c r="J3" s="88">
        <v>1145</v>
      </c>
      <c r="K3" s="88">
        <v>1140</v>
      </c>
      <c r="L3" s="88">
        <v>1135</v>
      </c>
      <c r="M3" s="88">
        <v>1130</v>
      </c>
      <c r="N3" s="88">
        <v>1125</v>
      </c>
      <c r="O3" s="88">
        <v>1120</v>
      </c>
      <c r="P3" s="88">
        <v>1115</v>
      </c>
      <c r="Q3" s="88">
        <v>1110</v>
      </c>
      <c r="R3" s="88">
        <v>1105</v>
      </c>
      <c r="S3" s="87">
        <v>1100</v>
      </c>
      <c r="T3" s="88">
        <v>1095</v>
      </c>
      <c r="U3" s="88">
        <v>1090</v>
      </c>
      <c r="V3" s="88">
        <v>1085</v>
      </c>
      <c r="W3" s="88">
        <v>1080</v>
      </c>
      <c r="X3" s="88">
        <v>1075</v>
      </c>
      <c r="AB3" s="520"/>
      <c r="AC3" s="521">
        <f>D3</f>
        <v>1006</v>
      </c>
      <c r="AF3" s="579" t="s">
        <v>678</v>
      </c>
    </row>
    <row r="4" spans="1:32" s="81" customFormat="1" ht="22.5" customHeight="1" x14ac:dyDescent="0.25">
      <c r="A4" s="163"/>
      <c r="B4" s="260"/>
      <c r="C4" s="82" t="s">
        <v>210</v>
      </c>
      <c r="D4" s="91">
        <v>1008.5</v>
      </c>
      <c r="E4" s="83"/>
      <c r="G4" s="516"/>
      <c r="H4" s="87">
        <v>1015</v>
      </c>
      <c r="I4" s="95" t="s">
        <v>121</v>
      </c>
      <c r="J4" s="95" t="s">
        <v>122</v>
      </c>
      <c r="K4" s="95" t="s">
        <v>123</v>
      </c>
      <c r="L4" s="95" t="s">
        <v>124</v>
      </c>
      <c r="M4" s="95" t="s">
        <v>125</v>
      </c>
      <c r="N4" s="95" t="s">
        <v>126</v>
      </c>
      <c r="O4" s="95" t="s">
        <v>127</v>
      </c>
      <c r="P4" s="95" t="s">
        <v>128</v>
      </c>
      <c r="Q4" s="95" t="s">
        <v>129</v>
      </c>
      <c r="R4" s="95" t="s">
        <v>130</v>
      </c>
      <c r="S4" s="95" t="s">
        <v>131</v>
      </c>
      <c r="T4" s="95" t="s">
        <v>132</v>
      </c>
      <c r="U4" s="95" t="s">
        <v>133</v>
      </c>
      <c r="V4" s="95" t="s">
        <v>134</v>
      </c>
      <c r="W4" s="95" t="s">
        <v>135</v>
      </c>
      <c r="X4" s="95" t="s">
        <v>136</v>
      </c>
      <c r="AC4" s="522">
        <f>D4</f>
        <v>1008.5</v>
      </c>
      <c r="AF4" s="579" t="s">
        <v>677</v>
      </c>
    </row>
    <row r="5" spans="1:32" s="81" customFormat="1" ht="22.5" customHeight="1" x14ac:dyDescent="0.25">
      <c r="A5" s="159"/>
      <c r="B5" s="261">
        <v>44052</v>
      </c>
      <c r="C5" s="82" t="s">
        <v>100</v>
      </c>
      <c r="D5" s="91">
        <f>D3-D4</f>
        <v>-2.5</v>
      </c>
      <c r="E5" s="83"/>
      <c r="G5" s="516"/>
      <c r="H5" s="87">
        <v>1020</v>
      </c>
      <c r="I5" s="95">
        <v>1.28</v>
      </c>
      <c r="J5" s="95">
        <v>1.26</v>
      </c>
      <c r="K5" s="95">
        <v>1.25</v>
      </c>
      <c r="L5" s="95">
        <v>1.24</v>
      </c>
      <c r="M5" s="95">
        <v>1.22</v>
      </c>
      <c r="N5" s="95">
        <v>1.21</v>
      </c>
      <c r="O5" s="95">
        <v>1.2</v>
      </c>
      <c r="P5" s="95">
        <v>1.19</v>
      </c>
      <c r="Q5" s="95">
        <v>1.18</v>
      </c>
      <c r="R5" s="95">
        <v>1.1599999999999999</v>
      </c>
      <c r="S5" s="95">
        <v>1.1499999999999999</v>
      </c>
      <c r="T5" s="95">
        <v>1.1399999999999999</v>
      </c>
      <c r="U5" s="95">
        <v>1.1299999999999999</v>
      </c>
      <c r="V5" s="95">
        <v>1.1200000000000001</v>
      </c>
      <c r="W5" s="95">
        <v>1.1100000000000001</v>
      </c>
      <c r="X5" s="95">
        <v>1.1000000000000001</v>
      </c>
      <c r="AC5" s="522">
        <f>AC3-AC4</f>
        <v>-2.5</v>
      </c>
      <c r="AF5" s="579" t="s">
        <v>676</v>
      </c>
    </row>
    <row r="6" spans="1:32" s="81" customFormat="1" ht="22.5" customHeight="1" x14ac:dyDescent="0.25">
      <c r="A6" s="159"/>
      <c r="B6" s="580" t="s">
        <v>673</v>
      </c>
      <c r="C6" s="82" t="s">
        <v>101</v>
      </c>
      <c r="D6" s="91">
        <v>2.63</v>
      </c>
      <c r="E6" s="83"/>
      <c r="G6" s="516"/>
      <c r="H6" s="87">
        <v>1025</v>
      </c>
      <c r="I6" s="95">
        <v>1.27</v>
      </c>
      <c r="J6" s="95">
        <v>1.25</v>
      </c>
      <c r="K6" s="95">
        <v>1.24</v>
      </c>
      <c r="L6" s="95">
        <v>1.23</v>
      </c>
      <c r="M6" s="95">
        <v>1.21</v>
      </c>
      <c r="N6" s="95">
        <v>1.2</v>
      </c>
      <c r="O6" s="95">
        <v>1.19</v>
      </c>
      <c r="P6" s="95">
        <v>1.18</v>
      </c>
      <c r="Q6" s="95">
        <v>1.17</v>
      </c>
      <c r="R6" s="95">
        <v>1.1599999999999999</v>
      </c>
      <c r="S6" s="95">
        <v>1.1399999999999999</v>
      </c>
      <c r="T6" s="95">
        <v>1.1299999999999999</v>
      </c>
      <c r="U6" s="95">
        <v>1.1200000000000001</v>
      </c>
      <c r="V6" s="95">
        <v>1.1100000000000001</v>
      </c>
      <c r="W6" s="95">
        <v>1.1000000000000001</v>
      </c>
      <c r="X6" s="95">
        <v>1.0900000000000001</v>
      </c>
      <c r="AC6" s="522">
        <f>D6</f>
        <v>2.63</v>
      </c>
      <c r="AF6" s="579" t="s">
        <v>675</v>
      </c>
    </row>
    <row r="7" spans="1:32" s="81" customFormat="1" ht="22.5" customHeight="1" x14ac:dyDescent="0.25">
      <c r="A7" s="163"/>
      <c r="B7" s="164"/>
      <c r="C7" s="82" t="s">
        <v>102</v>
      </c>
      <c r="D7" s="91">
        <f>D5*D6</f>
        <v>-6.5749999999999993</v>
      </c>
      <c r="E7" s="83" t="s">
        <v>103</v>
      </c>
      <c r="G7" s="516"/>
      <c r="H7" s="87">
        <v>1030</v>
      </c>
      <c r="I7" s="95">
        <v>1.25</v>
      </c>
      <c r="J7" s="95">
        <v>1.24</v>
      </c>
      <c r="K7" s="95">
        <v>1.23</v>
      </c>
      <c r="L7" s="95">
        <v>1.22</v>
      </c>
      <c r="M7" s="95">
        <v>1.2</v>
      </c>
      <c r="N7" s="95">
        <v>1.19</v>
      </c>
      <c r="O7" s="95">
        <v>1.18</v>
      </c>
      <c r="P7" s="95">
        <v>1.17</v>
      </c>
      <c r="Q7" s="95">
        <v>1.1599999999999999</v>
      </c>
      <c r="R7" s="95">
        <v>1.1499999999999999</v>
      </c>
      <c r="S7" s="95">
        <v>1.1299999999999999</v>
      </c>
      <c r="T7" s="95">
        <v>1.1200000000000001</v>
      </c>
      <c r="U7" s="95">
        <v>1.1100000000000001</v>
      </c>
      <c r="V7" s="95">
        <v>1.1000000000000001</v>
      </c>
      <c r="W7" s="95">
        <v>1.0900000000000001</v>
      </c>
      <c r="X7" s="95">
        <v>1.08</v>
      </c>
      <c r="AC7" s="522">
        <f>AC5*AC6</f>
        <v>-6.5749999999999993</v>
      </c>
    </row>
    <row r="8" spans="1:32" s="81" customFormat="1" ht="22.5" customHeight="1" x14ac:dyDescent="0.25">
      <c r="A8" s="554" t="s">
        <v>664</v>
      </c>
      <c r="B8" s="555"/>
      <c r="C8" s="82" t="s">
        <v>104</v>
      </c>
      <c r="D8" s="258">
        <v>30</v>
      </c>
      <c r="E8" s="83" t="s">
        <v>4</v>
      </c>
      <c r="G8" s="516"/>
      <c r="H8" s="87">
        <v>1035</v>
      </c>
      <c r="I8" s="95">
        <v>1.24</v>
      </c>
      <c r="J8" s="95">
        <v>1.23</v>
      </c>
      <c r="K8" s="95">
        <v>1.22</v>
      </c>
      <c r="L8" s="95">
        <v>1.21</v>
      </c>
      <c r="M8" s="95">
        <v>1.19</v>
      </c>
      <c r="N8" s="95">
        <v>1.18</v>
      </c>
      <c r="O8" s="95">
        <v>1.17</v>
      </c>
      <c r="P8" s="95">
        <v>1.1599999999999999</v>
      </c>
      <c r="Q8" s="95">
        <v>1.1499999999999999</v>
      </c>
      <c r="R8" s="95">
        <v>1.1399999999999999</v>
      </c>
      <c r="S8" s="96">
        <v>1.1200000000000001</v>
      </c>
      <c r="T8" s="95">
        <v>1.1100000000000001</v>
      </c>
      <c r="U8" s="95">
        <v>1.1000000000000001</v>
      </c>
      <c r="V8" s="95">
        <v>1.0900000000000001</v>
      </c>
      <c r="W8" s="95">
        <v>1.08</v>
      </c>
      <c r="X8" s="95">
        <v>1.07</v>
      </c>
      <c r="AC8" s="522">
        <f>D8</f>
        <v>30</v>
      </c>
    </row>
    <row r="9" spans="1:32" s="81" customFormat="1" ht="22.5" customHeight="1" x14ac:dyDescent="0.25">
      <c r="A9" s="159"/>
      <c r="B9" s="161"/>
      <c r="C9" s="82" t="s">
        <v>105</v>
      </c>
      <c r="D9" s="90">
        <f>D7*D8</f>
        <v>-197.24999999999997</v>
      </c>
      <c r="E9" s="83" t="s">
        <v>103</v>
      </c>
      <c r="G9" s="516"/>
      <c r="H9" s="89">
        <v>1040</v>
      </c>
      <c r="I9" s="97">
        <v>1.23</v>
      </c>
      <c r="J9" s="97">
        <v>1.22</v>
      </c>
      <c r="K9" s="97">
        <v>1.21</v>
      </c>
      <c r="L9" s="97">
        <v>1.2</v>
      </c>
      <c r="M9" s="97">
        <v>1.18</v>
      </c>
      <c r="N9" s="95">
        <v>1.17</v>
      </c>
      <c r="O9" s="95">
        <v>1.1599999999999999</v>
      </c>
      <c r="P9" s="95">
        <v>1.1499999999999999</v>
      </c>
      <c r="Q9" s="95">
        <v>1.1399999999999999</v>
      </c>
      <c r="R9" s="95">
        <v>1.1299999999999999</v>
      </c>
      <c r="S9" s="95">
        <v>1.1100000000000001</v>
      </c>
      <c r="T9" s="95">
        <v>1.1000000000000001</v>
      </c>
      <c r="U9" s="95">
        <v>1.0900000000000001</v>
      </c>
      <c r="V9" s="95">
        <v>1.08</v>
      </c>
      <c r="W9" s="95">
        <v>1.07</v>
      </c>
      <c r="X9" s="95">
        <v>1.06</v>
      </c>
      <c r="AC9" s="522">
        <f>AC7*AC8</f>
        <v>-197.24999999999997</v>
      </c>
    </row>
    <row r="10" spans="1:32" s="81" customFormat="1" ht="22.5" customHeight="1" x14ac:dyDescent="0.25">
      <c r="A10" s="672" t="s">
        <v>106</v>
      </c>
      <c r="B10" s="673"/>
      <c r="C10" s="82" t="s">
        <v>107</v>
      </c>
      <c r="D10" s="258">
        <v>12</v>
      </c>
      <c r="E10" s="83" t="s">
        <v>108</v>
      </c>
      <c r="G10" s="516"/>
      <c r="H10" s="87">
        <v>1045</v>
      </c>
      <c r="I10" s="97">
        <v>1.22</v>
      </c>
      <c r="J10" s="97">
        <v>1.21</v>
      </c>
      <c r="K10" s="97">
        <v>1.2</v>
      </c>
      <c r="L10" s="97">
        <v>1.19</v>
      </c>
      <c r="M10" s="95">
        <v>1.17</v>
      </c>
      <c r="N10" s="95">
        <v>1.1599999999999999</v>
      </c>
      <c r="O10" s="95">
        <v>1.1499999999999999</v>
      </c>
      <c r="P10" s="95">
        <v>1.1399999999999999</v>
      </c>
      <c r="Q10" s="95">
        <v>1.1299999999999999</v>
      </c>
      <c r="R10" s="95">
        <v>1.1200000000000001</v>
      </c>
      <c r="S10" s="95">
        <v>1.1100000000000001</v>
      </c>
      <c r="T10" s="95">
        <v>1.1000000000000001</v>
      </c>
      <c r="U10" s="95">
        <v>1.08</v>
      </c>
      <c r="V10" s="95">
        <v>1.07</v>
      </c>
      <c r="W10" s="95">
        <v>1.06</v>
      </c>
      <c r="X10" s="95">
        <v>1.05</v>
      </c>
      <c r="AC10" s="522">
        <v>8</v>
      </c>
    </row>
    <row r="11" spans="1:32" s="81" customFormat="1" ht="22.5" customHeight="1" x14ac:dyDescent="0.25">
      <c r="A11" s="159"/>
      <c r="B11" s="161" t="s">
        <v>137</v>
      </c>
      <c r="C11" s="82" t="s">
        <v>209</v>
      </c>
      <c r="D11" s="138">
        <v>18</v>
      </c>
      <c r="E11" s="83" t="s">
        <v>103</v>
      </c>
      <c r="H11" s="89">
        <v>1050</v>
      </c>
      <c r="I11" s="95">
        <v>1.21</v>
      </c>
      <c r="J11" s="95">
        <v>1.2</v>
      </c>
      <c r="K11" s="95">
        <v>1.19</v>
      </c>
      <c r="L11" s="95">
        <v>1.17</v>
      </c>
      <c r="M11" s="95">
        <v>1.1599999999999999</v>
      </c>
      <c r="N11" s="95">
        <v>1.1499999999999999</v>
      </c>
      <c r="O11" s="95">
        <v>1.1399999999999999</v>
      </c>
      <c r="P11" s="96">
        <v>1.1299999999999999</v>
      </c>
      <c r="Q11" s="95">
        <v>1.1200000000000001</v>
      </c>
      <c r="R11" s="95">
        <v>1.1100000000000001</v>
      </c>
      <c r="S11" s="95">
        <v>1.1000000000000001</v>
      </c>
      <c r="T11" s="95">
        <v>1.0900000000000001</v>
      </c>
      <c r="U11" s="95">
        <v>1.08</v>
      </c>
      <c r="V11" s="95">
        <v>1.07</v>
      </c>
      <c r="W11" s="95">
        <v>1.06</v>
      </c>
      <c r="X11" s="95">
        <v>1.05</v>
      </c>
      <c r="AC11" s="522">
        <f>D11</f>
        <v>18</v>
      </c>
    </row>
    <row r="12" spans="1:32" s="81" customFormat="1" ht="22.5" customHeight="1" x14ac:dyDescent="0.25">
      <c r="A12" s="159"/>
      <c r="B12" s="161"/>
      <c r="C12" s="82" t="s">
        <v>109</v>
      </c>
      <c r="D12" s="90">
        <f>D10*D11</f>
        <v>216</v>
      </c>
      <c r="E12" s="83" t="s">
        <v>110</v>
      </c>
      <c r="H12" s="87">
        <v>1055</v>
      </c>
      <c r="I12" s="95">
        <v>1.2</v>
      </c>
      <c r="J12" s="95">
        <v>1.19</v>
      </c>
      <c r="K12" s="95">
        <v>1.18</v>
      </c>
      <c r="L12" s="95">
        <v>1.1599999999999999</v>
      </c>
      <c r="M12" s="95">
        <v>1.1499999999999999</v>
      </c>
      <c r="N12" s="95">
        <v>1.1399999999999999</v>
      </c>
      <c r="O12" s="96">
        <v>1.1299999999999999</v>
      </c>
      <c r="P12" s="95">
        <v>1.1200000000000001</v>
      </c>
      <c r="Q12" s="95">
        <v>1.1100000000000001</v>
      </c>
      <c r="R12" s="95">
        <v>1.1000000000000001</v>
      </c>
      <c r="S12" s="95">
        <v>1.0900000000000001</v>
      </c>
      <c r="T12" s="95">
        <v>1.08</v>
      </c>
      <c r="U12" s="95">
        <v>1.07</v>
      </c>
      <c r="V12" s="95">
        <v>1.06</v>
      </c>
      <c r="W12" s="95">
        <v>1.05</v>
      </c>
      <c r="X12" s="95">
        <v>1.04</v>
      </c>
      <c r="AC12" s="522">
        <f>AC10*AC11</f>
        <v>144</v>
      </c>
    </row>
    <row r="13" spans="1:32" s="81" customFormat="1" ht="22.5" customHeight="1" x14ac:dyDescent="0.25">
      <c r="A13" s="159"/>
      <c r="B13" s="161"/>
      <c r="C13" s="82" t="s">
        <v>111</v>
      </c>
      <c r="D13" s="258">
        <v>10</v>
      </c>
      <c r="E13" s="83" t="s">
        <v>110</v>
      </c>
      <c r="H13" s="89">
        <v>1060</v>
      </c>
      <c r="I13" s="95">
        <v>1.19</v>
      </c>
      <c r="J13" s="97">
        <v>1.18</v>
      </c>
      <c r="K13" s="95">
        <v>1.17</v>
      </c>
      <c r="L13" s="95">
        <v>1.1599999999999999</v>
      </c>
      <c r="M13" s="95">
        <v>1.1499999999999999</v>
      </c>
      <c r="N13" s="95">
        <v>1.1399999999999999</v>
      </c>
      <c r="O13" s="95">
        <v>1.1299999999999999</v>
      </c>
      <c r="P13" s="95">
        <v>1.1100000000000001</v>
      </c>
      <c r="Q13" s="95">
        <v>1.1000000000000001</v>
      </c>
      <c r="R13" s="95">
        <v>1.0900000000000001</v>
      </c>
      <c r="S13" s="95">
        <v>1.08</v>
      </c>
      <c r="T13" s="95">
        <v>1.07</v>
      </c>
      <c r="U13" s="95">
        <v>1.06</v>
      </c>
      <c r="V13" s="95">
        <v>1.05</v>
      </c>
      <c r="W13" s="95">
        <v>1.04</v>
      </c>
      <c r="X13" s="95">
        <v>1.03</v>
      </c>
      <c r="AC13" s="522">
        <f>D13</f>
        <v>10</v>
      </c>
    </row>
    <row r="14" spans="1:32" s="81" customFormat="1" ht="22.5" customHeight="1" x14ac:dyDescent="0.25">
      <c r="A14" s="159"/>
      <c r="B14" s="161"/>
      <c r="C14" s="82" t="s">
        <v>112</v>
      </c>
      <c r="D14" s="90">
        <f>D12+D13</f>
        <v>226</v>
      </c>
      <c r="E14" s="83" t="s">
        <v>110</v>
      </c>
      <c r="H14" s="87">
        <v>1065</v>
      </c>
      <c r="I14" s="97">
        <v>1.18</v>
      </c>
      <c r="J14" s="95">
        <v>1.17</v>
      </c>
      <c r="K14" s="95">
        <v>1.1599999999999999</v>
      </c>
      <c r="L14" s="95">
        <v>1.1499999999999999</v>
      </c>
      <c r="M14" s="95">
        <v>1.1399999999999999</v>
      </c>
      <c r="N14" s="95">
        <v>1.1299999999999999</v>
      </c>
      <c r="O14" s="95">
        <v>1.1100000000000001</v>
      </c>
      <c r="P14" s="95">
        <v>1.1000000000000001</v>
      </c>
      <c r="Q14" s="95">
        <v>1.0900000000000001</v>
      </c>
      <c r="R14" s="95">
        <v>1.08</v>
      </c>
      <c r="S14" s="95">
        <v>1.07</v>
      </c>
      <c r="T14" s="95">
        <v>1.06</v>
      </c>
      <c r="U14" s="95">
        <v>1.05</v>
      </c>
      <c r="V14" s="95">
        <v>1.04</v>
      </c>
      <c r="W14" s="95">
        <v>1.03</v>
      </c>
      <c r="X14" s="95">
        <v>1.02</v>
      </c>
      <c r="AC14" s="522">
        <f>AC12+AC13</f>
        <v>154</v>
      </c>
    </row>
    <row r="15" spans="1:32" s="81" customFormat="1" ht="22.5" customHeight="1" x14ac:dyDescent="0.25">
      <c r="A15" s="159"/>
      <c r="B15" s="161"/>
      <c r="C15" s="82"/>
      <c r="D15" s="90">
        <v>2.63</v>
      </c>
      <c r="E15" s="83"/>
      <c r="H15" s="89">
        <v>1070</v>
      </c>
      <c r="I15" s="95">
        <v>1.17</v>
      </c>
      <c r="J15" s="95">
        <v>1.1599999999999999</v>
      </c>
      <c r="K15" s="95">
        <v>1.1499999999999999</v>
      </c>
      <c r="L15" s="95">
        <v>1.1399999999999999</v>
      </c>
      <c r="M15" s="95">
        <v>1.1299999999999999</v>
      </c>
      <c r="N15" s="95">
        <v>1.1100000000000001</v>
      </c>
      <c r="O15" s="95">
        <v>1.1000000000000001</v>
      </c>
      <c r="P15" s="95">
        <v>1.0900000000000001</v>
      </c>
      <c r="Q15" s="95">
        <v>1.08</v>
      </c>
      <c r="R15" s="95">
        <v>1.07</v>
      </c>
      <c r="S15" s="95">
        <v>1.06</v>
      </c>
      <c r="T15" s="95">
        <v>1.05</v>
      </c>
      <c r="U15" s="95">
        <v>1.04</v>
      </c>
      <c r="V15" s="95">
        <v>1.03</v>
      </c>
      <c r="W15" s="95">
        <v>1.02</v>
      </c>
      <c r="X15" s="95">
        <v>1.01</v>
      </c>
      <c r="AC15" s="522">
        <f>D15</f>
        <v>2.63</v>
      </c>
    </row>
    <row r="16" spans="1:32" s="81" customFormat="1" ht="22.5" customHeight="1" x14ac:dyDescent="0.25">
      <c r="A16" s="159"/>
      <c r="B16" s="161"/>
      <c r="C16" s="82"/>
      <c r="D16" s="92">
        <f xml:space="preserve"> D14/D15</f>
        <v>85.931558935361224</v>
      </c>
      <c r="E16" s="83"/>
      <c r="H16" s="87">
        <v>1075</v>
      </c>
      <c r="I16" s="95">
        <v>1.1599999999999999</v>
      </c>
      <c r="J16" s="95">
        <v>1.1499999999999999</v>
      </c>
      <c r="K16" s="95">
        <v>1.1399999999999999</v>
      </c>
      <c r="L16" s="95">
        <v>1.1200000000000001</v>
      </c>
      <c r="M16" s="95">
        <v>1.1100000000000001</v>
      </c>
      <c r="N16" s="95">
        <v>1.1000000000000001</v>
      </c>
      <c r="O16" s="95">
        <v>1.0900000000000001</v>
      </c>
      <c r="P16" s="95">
        <v>1.08</v>
      </c>
      <c r="Q16" s="95">
        <v>1.07</v>
      </c>
      <c r="R16" s="95">
        <v>1.06</v>
      </c>
      <c r="S16" s="95">
        <v>1.05</v>
      </c>
      <c r="T16" s="95">
        <v>1.04</v>
      </c>
      <c r="U16" s="95">
        <v>1.03</v>
      </c>
      <c r="V16" s="95">
        <v>1.02</v>
      </c>
      <c r="W16" s="95">
        <v>1.01</v>
      </c>
      <c r="X16" s="459">
        <v>1</v>
      </c>
      <c r="Y16" s="674" t="s">
        <v>399</v>
      </c>
      <c r="Z16" s="675"/>
      <c r="AA16" s="675"/>
      <c r="AC16" s="523">
        <f>AC14/AC15</f>
        <v>58.555133079847913</v>
      </c>
    </row>
    <row r="17" spans="1:29" s="81" customFormat="1" ht="22.5" customHeight="1" x14ac:dyDescent="0.25">
      <c r="A17" s="159"/>
      <c r="B17" s="161"/>
      <c r="C17" s="82"/>
      <c r="D17" s="90">
        <v>1008.5</v>
      </c>
      <c r="E17" s="83"/>
      <c r="H17" s="89">
        <v>1080</v>
      </c>
      <c r="I17" s="95">
        <v>1.1499999999999999</v>
      </c>
      <c r="J17" s="95">
        <v>1.1399999999999999</v>
      </c>
      <c r="K17" s="95">
        <v>1.1200000000000001</v>
      </c>
      <c r="L17" s="95">
        <v>1.1100000000000001</v>
      </c>
      <c r="M17" s="95">
        <v>1.1000000000000001</v>
      </c>
      <c r="N17" s="95">
        <v>1.0900000000000001</v>
      </c>
      <c r="O17" s="95">
        <v>1.08</v>
      </c>
      <c r="P17" s="95">
        <v>1.07</v>
      </c>
      <c r="Q17" s="95">
        <v>1.06</v>
      </c>
      <c r="R17" s="95">
        <v>1.05</v>
      </c>
      <c r="S17" s="95">
        <v>1.04</v>
      </c>
      <c r="T17" s="95">
        <v>1.03</v>
      </c>
      <c r="U17" s="95">
        <v>1.02</v>
      </c>
      <c r="V17" s="95">
        <v>1.01</v>
      </c>
      <c r="W17" s="459">
        <v>1</v>
      </c>
      <c r="X17" s="459">
        <v>0.99</v>
      </c>
      <c r="Y17" s="674"/>
      <c r="Z17" s="675"/>
      <c r="AA17" s="675"/>
      <c r="AC17" s="522">
        <f>D17</f>
        <v>1008.5</v>
      </c>
    </row>
    <row r="18" spans="1:29" s="81" customFormat="1" ht="22.5" customHeight="1" x14ac:dyDescent="0.25">
      <c r="A18" s="159"/>
      <c r="B18" s="161"/>
      <c r="C18" s="394" t="s">
        <v>113</v>
      </c>
      <c r="D18" s="395">
        <f>D16+D17</f>
        <v>1094.4315589353612</v>
      </c>
      <c r="E18" s="83"/>
      <c r="H18" s="87">
        <v>1085</v>
      </c>
      <c r="I18" s="95">
        <v>1.1399999999999999</v>
      </c>
      <c r="J18" s="95">
        <v>1.1299999999999999</v>
      </c>
      <c r="K18" s="95">
        <v>1.1100000000000001</v>
      </c>
      <c r="L18" s="95">
        <v>1.1000000000000001</v>
      </c>
      <c r="M18" s="95">
        <v>1.0900000000000001</v>
      </c>
      <c r="N18" s="95">
        <v>1.08</v>
      </c>
      <c r="O18" s="95">
        <v>1.07</v>
      </c>
      <c r="P18" s="95">
        <v>1.06</v>
      </c>
      <c r="Q18" s="95">
        <v>1.05</v>
      </c>
      <c r="R18" s="95">
        <v>1.04</v>
      </c>
      <c r="S18" s="95">
        <v>1.03</v>
      </c>
      <c r="T18" s="95">
        <v>1.02</v>
      </c>
      <c r="U18" s="95">
        <v>1.01</v>
      </c>
      <c r="V18" s="458">
        <v>1</v>
      </c>
      <c r="W18" s="459">
        <v>0.99</v>
      </c>
      <c r="X18" s="459">
        <v>0.98</v>
      </c>
      <c r="Y18" s="674"/>
      <c r="Z18" s="675"/>
      <c r="AA18" s="675"/>
      <c r="AC18" s="524">
        <f>AC16+AC17</f>
        <v>1067.055133079848</v>
      </c>
    </row>
    <row r="19" spans="1:29" s="81" customFormat="1" ht="22.5" customHeight="1" x14ac:dyDescent="0.25">
      <c r="A19" s="159"/>
      <c r="B19" s="161"/>
      <c r="C19" s="148">
        <f>B4</f>
        <v>0</v>
      </c>
      <c r="D19" s="262">
        <f>D8</f>
        <v>30</v>
      </c>
      <c r="E19" s="83" t="s">
        <v>4</v>
      </c>
      <c r="H19" s="89">
        <v>1090</v>
      </c>
      <c r="I19" s="95">
        <v>1.1299999999999999</v>
      </c>
      <c r="J19" s="95">
        <v>1.1200000000000001</v>
      </c>
      <c r="K19" s="95">
        <v>1.1000000000000001</v>
      </c>
      <c r="L19" s="95">
        <v>1.0900000000000001</v>
      </c>
      <c r="M19" s="95">
        <v>1.08</v>
      </c>
      <c r="N19" s="95">
        <v>1.07</v>
      </c>
      <c r="O19" s="95">
        <v>1.06</v>
      </c>
      <c r="P19" s="95">
        <v>1.05</v>
      </c>
      <c r="Q19" s="95">
        <v>1.04</v>
      </c>
      <c r="R19" s="95">
        <v>1.03</v>
      </c>
      <c r="S19" s="95">
        <v>1.02</v>
      </c>
      <c r="T19" s="95">
        <v>1.01</v>
      </c>
      <c r="U19" s="458">
        <v>1</v>
      </c>
      <c r="V19" s="459">
        <v>0.99</v>
      </c>
      <c r="W19" s="459">
        <v>0.98</v>
      </c>
      <c r="X19" s="459">
        <v>0.97</v>
      </c>
      <c r="AC19" s="522">
        <f>AC8</f>
        <v>30</v>
      </c>
    </row>
    <row r="20" spans="1:29" s="81" customFormat="1" ht="22.5" customHeight="1" x14ac:dyDescent="0.25">
      <c r="A20" s="159"/>
      <c r="B20" s="161"/>
      <c r="C20" s="82" t="s">
        <v>114</v>
      </c>
      <c r="D20" s="257">
        <v>1.0900000000000001</v>
      </c>
      <c r="E20" s="83"/>
      <c r="H20" s="87">
        <v>1095</v>
      </c>
      <c r="I20" s="95">
        <v>1.1200000000000001</v>
      </c>
      <c r="J20" s="95">
        <v>1.1100000000000001</v>
      </c>
      <c r="K20" s="95">
        <v>1.0900000000000001</v>
      </c>
      <c r="L20" s="95">
        <v>1.08</v>
      </c>
      <c r="M20" s="95">
        <v>1.07</v>
      </c>
      <c r="N20" s="95">
        <v>1.06</v>
      </c>
      <c r="O20" s="95">
        <v>1.05</v>
      </c>
      <c r="P20" s="95">
        <v>1.04</v>
      </c>
      <c r="Q20" s="95">
        <v>1.03</v>
      </c>
      <c r="R20" s="95">
        <v>1.02</v>
      </c>
      <c r="S20" s="95">
        <v>1.01</v>
      </c>
      <c r="T20" s="458">
        <v>1</v>
      </c>
      <c r="U20" s="459">
        <v>0.99</v>
      </c>
      <c r="V20" s="459">
        <v>0.98</v>
      </c>
      <c r="W20" s="459">
        <v>0.97</v>
      </c>
      <c r="X20" s="459">
        <v>0.96</v>
      </c>
      <c r="AC20" s="599">
        <v>1.1000000000000001</v>
      </c>
    </row>
    <row r="21" spans="1:29" s="81" customFormat="1" ht="22.5" customHeight="1" x14ac:dyDescent="0.25">
      <c r="A21" s="159"/>
      <c r="B21" s="161"/>
      <c r="C21" s="82" t="s">
        <v>115</v>
      </c>
      <c r="D21" s="90">
        <f>D19*D20</f>
        <v>32.700000000000003</v>
      </c>
      <c r="E21" s="83" t="s">
        <v>4</v>
      </c>
      <c r="H21" s="89">
        <v>1100</v>
      </c>
      <c r="I21" s="95">
        <v>1.1100000000000001</v>
      </c>
      <c r="J21" s="95">
        <v>1.0900000000000001</v>
      </c>
      <c r="K21" s="95">
        <v>1.08</v>
      </c>
      <c r="L21" s="95">
        <v>1.07</v>
      </c>
      <c r="M21" s="95">
        <v>1.06</v>
      </c>
      <c r="N21" s="95">
        <v>1.05</v>
      </c>
      <c r="O21" s="95">
        <v>1.04</v>
      </c>
      <c r="P21" s="95">
        <v>1.03</v>
      </c>
      <c r="Q21" s="95">
        <v>1.02</v>
      </c>
      <c r="R21" s="95">
        <v>1.01</v>
      </c>
      <c r="S21" s="458">
        <v>1</v>
      </c>
      <c r="T21" s="459">
        <v>0.99</v>
      </c>
      <c r="U21" s="459">
        <v>0.98</v>
      </c>
      <c r="V21" s="459">
        <v>0.97</v>
      </c>
      <c r="W21" s="459">
        <v>0.96</v>
      </c>
      <c r="X21" s="459">
        <v>0.95</v>
      </c>
      <c r="AC21" s="522">
        <f>AC19+AC20</f>
        <v>31.1</v>
      </c>
    </row>
    <row r="22" spans="1:29" s="81" customFormat="1" ht="22.5" customHeight="1" x14ac:dyDescent="0.25">
      <c r="A22" s="159"/>
      <c r="B22" s="161"/>
      <c r="C22" s="82" t="s">
        <v>116</v>
      </c>
      <c r="D22" s="90">
        <f>D14</f>
        <v>226</v>
      </c>
      <c r="E22" s="83" t="s">
        <v>103</v>
      </c>
      <c r="H22" s="87">
        <v>1105</v>
      </c>
      <c r="I22" s="95">
        <v>1.1000000000000001</v>
      </c>
      <c r="J22" s="95">
        <v>1.08</v>
      </c>
      <c r="K22" s="95">
        <v>1.07</v>
      </c>
      <c r="L22" s="95">
        <v>1.06</v>
      </c>
      <c r="M22" s="95">
        <v>1.05</v>
      </c>
      <c r="N22" s="95">
        <v>1.04</v>
      </c>
      <c r="O22" s="95">
        <v>1.03</v>
      </c>
      <c r="P22" s="95">
        <v>1.02</v>
      </c>
      <c r="Q22" s="95">
        <v>1.01</v>
      </c>
      <c r="R22" s="458">
        <v>1</v>
      </c>
      <c r="S22" s="459">
        <v>0.98</v>
      </c>
      <c r="T22" s="459">
        <v>0.97</v>
      </c>
      <c r="U22" s="459">
        <v>0.96</v>
      </c>
      <c r="V22" s="459">
        <v>0.95</v>
      </c>
      <c r="W22" s="459">
        <v>0.94</v>
      </c>
      <c r="X22" s="459">
        <v>0.93</v>
      </c>
      <c r="AC22" s="522">
        <f>AC14</f>
        <v>154</v>
      </c>
    </row>
    <row r="23" spans="1:29" s="81" customFormat="1" ht="22.5" customHeight="1" x14ac:dyDescent="0.25">
      <c r="A23" s="159"/>
      <c r="B23" s="161"/>
      <c r="C23" s="82" t="s">
        <v>117</v>
      </c>
      <c r="D23" s="90">
        <f>D21*D22</f>
        <v>7390.2000000000007</v>
      </c>
      <c r="E23" s="83" t="s">
        <v>103</v>
      </c>
      <c r="H23" s="87">
        <v>1110</v>
      </c>
      <c r="I23" s="95">
        <v>1.08</v>
      </c>
      <c r="J23" s="95">
        <v>1.07</v>
      </c>
      <c r="K23" s="95">
        <v>1.06</v>
      </c>
      <c r="L23" s="95">
        <v>1.05</v>
      </c>
      <c r="M23" s="95">
        <v>1.04</v>
      </c>
      <c r="N23" s="95">
        <v>1.03</v>
      </c>
      <c r="O23" s="95">
        <v>1.02</v>
      </c>
      <c r="P23" s="95">
        <v>1.01</v>
      </c>
      <c r="Q23" s="458">
        <v>1</v>
      </c>
      <c r="R23" s="459">
        <v>0.98</v>
      </c>
      <c r="S23" s="459">
        <v>0.97</v>
      </c>
      <c r="T23" s="459">
        <v>0.96</v>
      </c>
      <c r="U23" s="459">
        <v>0.95</v>
      </c>
      <c r="V23" s="459">
        <v>0.94</v>
      </c>
      <c r="W23" s="459">
        <v>0.93</v>
      </c>
      <c r="X23" s="459">
        <v>0.92</v>
      </c>
      <c r="AC23" s="522">
        <f>AC21*AC22</f>
        <v>4789.4000000000005</v>
      </c>
    </row>
    <row r="24" spans="1:29" s="81" customFormat="1" ht="22.5" customHeight="1" x14ac:dyDescent="0.25">
      <c r="A24" s="159"/>
      <c r="B24" s="161"/>
      <c r="C24" s="82" t="s">
        <v>118</v>
      </c>
      <c r="D24" s="90">
        <f>D9</f>
        <v>-197.24999999999997</v>
      </c>
      <c r="E24" s="83" t="s">
        <v>103</v>
      </c>
      <c r="H24" s="89">
        <v>1115</v>
      </c>
      <c r="I24" s="95">
        <v>1.07</v>
      </c>
      <c r="J24" s="95">
        <v>1.06</v>
      </c>
      <c r="K24" s="95">
        <v>1.05</v>
      </c>
      <c r="L24" s="95">
        <v>1.04</v>
      </c>
      <c r="M24" s="95">
        <v>1.03</v>
      </c>
      <c r="N24" s="95">
        <v>1.02</v>
      </c>
      <c r="O24" s="95">
        <v>1.01</v>
      </c>
      <c r="P24" s="458">
        <v>1</v>
      </c>
      <c r="Q24" s="459">
        <v>0.98</v>
      </c>
      <c r="R24" s="459">
        <v>0.97</v>
      </c>
      <c r="S24" s="459">
        <v>0.96</v>
      </c>
      <c r="T24" s="459">
        <v>0.95</v>
      </c>
      <c r="U24" s="459">
        <v>0.94</v>
      </c>
      <c r="V24" s="459">
        <v>0.93</v>
      </c>
      <c r="W24" s="459">
        <v>0.92</v>
      </c>
      <c r="X24" s="459">
        <v>0.91</v>
      </c>
      <c r="AC24" s="522">
        <f>AC9</f>
        <v>-197.24999999999997</v>
      </c>
    </row>
    <row r="25" spans="1:29" s="81" customFormat="1" ht="22.5" customHeight="1" thickBot="1" x14ac:dyDescent="0.3">
      <c r="A25" s="159"/>
      <c r="B25" s="161"/>
      <c r="C25" s="82" t="s">
        <v>714</v>
      </c>
      <c r="D25" s="90">
        <f>D23-D24</f>
        <v>7587.4500000000007</v>
      </c>
      <c r="E25" s="83" t="s">
        <v>103</v>
      </c>
      <c r="H25" s="87">
        <v>1120</v>
      </c>
      <c r="I25" s="95">
        <v>1.06</v>
      </c>
      <c r="J25" s="95">
        <v>1.05</v>
      </c>
      <c r="K25" s="95">
        <v>1.04</v>
      </c>
      <c r="L25" s="95">
        <v>1.03</v>
      </c>
      <c r="M25" s="95">
        <v>1.02</v>
      </c>
      <c r="N25" s="95">
        <v>1.01</v>
      </c>
      <c r="O25" s="458">
        <v>1</v>
      </c>
      <c r="P25" s="459">
        <v>0.98</v>
      </c>
      <c r="Q25" s="459">
        <v>0.97</v>
      </c>
      <c r="R25" s="459">
        <v>0.96</v>
      </c>
      <c r="S25" s="459">
        <v>0.95</v>
      </c>
      <c r="T25" s="459">
        <v>0.94</v>
      </c>
      <c r="U25" s="459">
        <v>0.93</v>
      </c>
      <c r="V25" s="459">
        <v>0.92</v>
      </c>
      <c r="W25" s="459">
        <v>0.91</v>
      </c>
      <c r="X25" s="459">
        <v>0.9</v>
      </c>
      <c r="AC25" s="522"/>
    </row>
    <row r="26" spans="1:29" s="81" customFormat="1" ht="22.5" customHeight="1" x14ac:dyDescent="0.25">
      <c r="A26" s="159"/>
      <c r="B26" s="161"/>
      <c r="C26" s="525" t="s">
        <v>636</v>
      </c>
      <c r="D26" s="605">
        <f>AC26</f>
        <v>4592.1500000000005</v>
      </c>
      <c r="E26" s="83" t="s">
        <v>103</v>
      </c>
      <c r="H26" s="87">
        <v>1125</v>
      </c>
      <c r="I26" s="95">
        <v>1.05</v>
      </c>
      <c r="J26" s="95">
        <v>1.04</v>
      </c>
      <c r="K26" s="95">
        <v>1.03</v>
      </c>
      <c r="L26" s="95">
        <v>1.02</v>
      </c>
      <c r="M26" s="95">
        <v>1.01</v>
      </c>
      <c r="N26" s="458">
        <v>1</v>
      </c>
      <c r="O26" s="459">
        <v>0.98</v>
      </c>
      <c r="P26" s="459">
        <v>0.97</v>
      </c>
      <c r="Q26" s="459">
        <v>0.96</v>
      </c>
      <c r="R26" s="459">
        <v>0.95</v>
      </c>
      <c r="S26" s="459">
        <v>0.94</v>
      </c>
      <c r="T26" s="459">
        <v>0.93</v>
      </c>
      <c r="U26" s="459">
        <v>0.92</v>
      </c>
      <c r="V26" s="459">
        <v>0.91</v>
      </c>
      <c r="W26" s="459">
        <v>0.9</v>
      </c>
      <c r="X26" s="459">
        <v>0.89</v>
      </c>
      <c r="Z26" s="676" t="s">
        <v>387</v>
      </c>
      <c r="AA26" s="677"/>
      <c r="AC26" s="606">
        <f>AC23+AC24</f>
        <v>4592.1500000000005</v>
      </c>
    </row>
    <row r="27" spans="1:29" s="81" customFormat="1" ht="22.5" customHeight="1" x14ac:dyDescent="0.25">
      <c r="A27" s="159"/>
      <c r="B27" s="161"/>
      <c r="C27" s="165"/>
      <c r="D27" s="581">
        <f>D25-D26</f>
        <v>2995.3</v>
      </c>
      <c r="E27" s="83" t="s">
        <v>103</v>
      </c>
      <c r="H27" s="89">
        <v>1130</v>
      </c>
      <c r="I27" s="95">
        <v>1.04</v>
      </c>
      <c r="J27" s="95">
        <v>1.03</v>
      </c>
      <c r="K27" s="95">
        <v>1.02</v>
      </c>
      <c r="L27" s="95">
        <v>1.01</v>
      </c>
      <c r="M27" s="458">
        <v>1</v>
      </c>
      <c r="N27" s="459">
        <v>0.98</v>
      </c>
      <c r="O27" s="459">
        <v>0.97</v>
      </c>
      <c r="P27" s="459">
        <v>0.96</v>
      </c>
      <c r="Q27" s="459">
        <v>0.95</v>
      </c>
      <c r="R27" s="459">
        <v>0.94</v>
      </c>
      <c r="S27" s="459">
        <v>0.93</v>
      </c>
      <c r="T27" s="459">
        <v>0.92</v>
      </c>
      <c r="U27" s="459">
        <v>0.91</v>
      </c>
      <c r="V27" s="459">
        <v>0.9</v>
      </c>
      <c r="W27" s="459">
        <v>0.89</v>
      </c>
      <c r="X27" s="459">
        <v>0.88</v>
      </c>
      <c r="Z27" s="448" t="s">
        <v>388</v>
      </c>
      <c r="AA27" s="449">
        <v>997</v>
      </c>
      <c r="AC27" s="522"/>
    </row>
    <row r="28" spans="1:29" s="81" customFormat="1" ht="22.5" customHeight="1" x14ac:dyDescent="0.25">
      <c r="A28" s="159"/>
      <c r="B28" s="161"/>
      <c r="C28" s="165" t="s">
        <v>637</v>
      </c>
      <c r="D28" s="166">
        <f>(D25-D26)/4</f>
        <v>748.82500000000005</v>
      </c>
      <c r="E28" s="83" t="s">
        <v>34</v>
      </c>
      <c r="H28" s="87">
        <v>1135</v>
      </c>
      <c r="I28" s="95">
        <v>1.03</v>
      </c>
      <c r="J28" s="95">
        <v>1.02</v>
      </c>
      <c r="K28" s="95">
        <v>1.01</v>
      </c>
      <c r="L28" s="458">
        <v>1</v>
      </c>
      <c r="M28" s="459">
        <v>0.98</v>
      </c>
      <c r="N28" s="459">
        <v>0.97</v>
      </c>
      <c r="O28" s="459">
        <v>0.96</v>
      </c>
      <c r="P28" s="459">
        <v>0.95</v>
      </c>
      <c r="Q28" s="459">
        <v>0.94</v>
      </c>
      <c r="R28" s="459">
        <v>0.93</v>
      </c>
      <c r="S28" s="459">
        <v>0.92</v>
      </c>
      <c r="T28" s="459">
        <v>0.91</v>
      </c>
      <c r="U28" s="459">
        <v>0.9</v>
      </c>
      <c r="V28" s="459">
        <v>0.89</v>
      </c>
      <c r="W28" s="459">
        <v>0.88</v>
      </c>
      <c r="X28" s="459">
        <v>0.87</v>
      </c>
      <c r="Z28" s="452" t="s">
        <v>389</v>
      </c>
      <c r="AA28" s="453">
        <v>995</v>
      </c>
    </row>
    <row r="29" spans="1:29" s="81" customFormat="1" ht="22.5" customHeight="1" x14ac:dyDescent="0.25">
      <c r="A29" s="159"/>
      <c r="B29" s="161"/>
      <c r="C29" s="114" t="s">
        <v>111</v>
      </c>
      <c r="D29" s="526">
        <f>D13</f>
        <v>10</v>
      </c>
      <c r="E29" s="83" t="s">
        <v>110</v>
      </c>
      <c r="H29" s="87">
        <v>1140</v>
      </c>
      <c r="I29" s="95">
        <v>1.02</v>
      </c>
      <c r="J29" s="95">
        <v>1.01</v>
      </c>
      <c r="K29" s="458">
        <v>1</v>
      </c>
      <c r="L29" s="459">
        <v>0.98</v>
      </c>
      <c r="M29" s="459">
        <v>0.97</v>
      </c>
      <c r="N29" s="459">
        <v>0.96</v>
      </c>
      <c r="O29" s="459">
        <v>0.95</v>
      </c>
      <c r="P29" s="459">
        <v>0.94</v>
      </c>
      <c r="Q29" s="459">
        <v>0.93</v>
      </c>
      <c r="R29" s="459">
        <v>0.92</v>
      </c>
      <c r="S29" s="459">
        <v>0.91</v>
      </c>
      <c r="T29" s="459">
        <v>0.9</v>
      </c>
      <c r="U29" s="459">
        <v>0.89</v>
      </c>
      <c r="V29" s="459">
        <v>0.88</v>
      </c>
      <c r="W29" s="459">
        <v>0.87</v>
      </c>
      <c r="X29" s="459">
        <v>0.86</v>
      </c>
      <c r="Z29" s="450" t="s">
        <v>390</v>
      </c>
      <c r="AA29" s="451">
        <v>994</v>
      </c>
    </row>
    <row r="30" spans="1:29" s="81" customFormat="1" ht="22.5" customHeight="1" x14ac:dyDescent="0.25">
      <c r="A30" s="159"/>
      <c r="B30" s="161"/>
      <c r="C30" s="82"/>
      <c r="D30" s="90">
        <v>2.63</v>
      </c>
      <c r="E30" s="83"/>
      <c r="H30" s="94" t="s">
        <v>120</v>
      </c>
      <c r="J30" s="140" t="s">
        <v>211</v>
      </c>
      <c r="X30" s="94" t="s">
        <v>120</v>
      </c>
      <c r="Z30" s="454" t="s">
        <v>391</v>
      </c>
      <c r="AA30" s="455">
        <v>993</v>
      </c>
    </row>
    <row r="31" spans="1:29" s="81" customFormat="1" ht="22.5" customHeight="1" x14ac:dyDescent="0.25">
      <c r="A31" s="159"/>
      <c r="B31" s="161"/>
      <c r="C31" s="82"/>
      <c r="D31" s="92">
        <f>D29/D30</f>
        <v>3.8022813688212929</v>
      </c>
      <c r="E31" s="83"/>
      <c r="J31" s="668" t="s">
        <v>386</v>
      </c>
      <c r="K31" s="668"/>
      <c r="L31" s="668"/>
      <c r="M31" s="668"/>
      <c r="N31" s="668"/>
      <c r="O31" s="668"/>
      <c r="P31" s="668"/>
      <c r="Q31" s="668"/>
      <c r="R31" s="668"/>
      <c r="S31" s="668"/>
      <c r="T31" s="668"/>
      <c r="U31" s="668"/>
      <c r="V31" s="668"/>
      <c r="W31" s="668"/>
      <c r="Z31" s="448" t="s">
        <v>392</v>
      </c>
      <c r="AA31" s="449">
        <v>992</v>
      </c>
    </row>
    <row r="32" spans="1:29" s="81" customFormat="1" ht="22.5" customHeight="1" x14ac:dyDescent="0.25">
      <c r="A32" s="159"/>
      <c r="B32" s="161"/>
      <c r="C32" s="82" t="s">
        <v>397</v>
      </c>
      <c r="D32" s="526" t="str">
        <f>IF(D10=10,"997",IF(D10=11,"995",IF(D10=12,"994",IF(D10=13,"993",IF(D10=14,"992",IF(D10=15,"990",IF(D10=16,"989",IF(D10=17,"988",IF(D10=18,"987","")))))))))</f>
        <v>994</v>
      </c>
      <c r="E32" s="83"/>
      <c r="J32" s="668"/>
      <c r="K32" s="668"/>
      <c r="L32" s="668"/>
      <c r="M32" s="668"/>
      <c r="N32" s="668"/>
      <c r="O32" s="668"/>
      <c r="P32" s="668"/>
      <c r="Q32" s="668"/>
      <c r="R32" s="668"/>
      <c r="S32" s="668"/>
      <c r="T32" s="668"/>
      <c r="U32" s="668"/>
      <c r="V32" s="668"/>
      <c r="W32" s="668"/>
      <c r="Z32" s="452" t="s">
        <v>393</v>
      </c>
      <c r="AA32" s="453">
        <v>990</v>
      </c>
    </row>
    <row r="33" spans="1:29" s="81" customFormat="1" ht="22.5" customHeight="1" x14ac:dyDescent="0.25">
      <c r="A33" s="159"/>
      <c r="B33" s="161"/>
      <c r="C33" s="82" t="s">
        <v>138</v>
      </c>
      <c r="D33" s="604">
        <f>D31+D32</f>
        <v>997.80228136882124</v>
      </c>
      <c r="E33" s="83"/>
      <c r="J33" s="141" t="s">
        <v>212</v>
      </c>
      <c r="U33" s="516"/>
      <c r="Z33" s="450" t="s">
        <v>394</v>
      </c>
      <c r="AA33" s="451">
        <v>989</v>
      </c>
    </row>
    <row r="34" spans="1:29" s="81" customFormat="1" ht="22.5" customHeight="1" thickBot="1" x14ac:dyDescent="0.3">
      <c r="A34" s="160"/>
      <c r="B34" s="162"/>
      <c r="C34" s="84"/>
      <c r="D34" s="85"/>
      <c r="E34" s="86"/>
      <c r="J34" s="141" t="s">
        <v>398</v>
      </c>
      <c r="U34" s="516"/>
      <c r="Z34" s="454" t="s">
        <v>395</v>
      </c>
      <c r="AA34" s="455">
        <v>988</v>
      </c>
    </row>
    <row r="35" spans="1:29" s="81" customFormat="1" ht="22.5" customHeight="1" thickTop="1" thickBot="1" x14ac:dyDescent="0.3">
      <c r="A35" s="516"/>
      <c r="B35" s="516"/>
      <c r="C35" s="516"/>
      <c r="D35" s="9"/>
      <c r="E35" s="516"/>
      <c r="J35" s="141" t="s">
        <v>400</v>
      </c>
      <c r="U35" s="516"/>
      <c r="Z35" s="456" t="s">
        <v>396</v>
      </c>
      <c r="AA35" s="457">
        <v>987</v>
      </c>
      <c r="AC35" s="516"/>
    </row>
    <row r="36" spans="1:29" ht="15.75" customHeight="1" x14ac:dyDescent="0.25">
      <c r="J36" s="141" t="s">
        <v>213</v>
      </c>
      <c r="K36" s="81"/>
      <c r="L36" s="81"/>
      <c r="M36" s="81"/>
      <c r="N36" s="81"/>
      <c r="O36" s="81"/>
      <c r="P36" s="81"/>
      <c r="Q36" s="81"/>
      <c r="R36" s="81"/>
      <c r="S36" s="81"/>
      <c r="T36" s="81"/>
    </row>
  </sheetData>
  <sheetProtection password="CC70" sheet="1" objects="1" scenarios="1"/>
  <mergeCells count="6">
    <mergeCell ref="J31:W32"/>
    <mergeCell ref="B1:D1"/>
    <mergeCell ref="A3:B3"/>
    <mergeCell ref="A10:B10"/>
    <mergeCell ref="Y16:AA18"/>
    <mergeCell ref="Z26:AA26"/>
  </mergeCells>
  <dataValidations disablePrompts="1" count="1">
    <dataValidation type="list" allowBlank="1" showInputMessage="1" showErrorMessage="1" sqref="B6">
      <formula1>$AF$1:$AF$6</formula1>
    </dataValidation>
  </dataValidations>
  <pageMargins left="0.35433070866141736" right="0.15748031496062992" top="0.45" bottom="0.53" header="0.31496062992125984" footer="0.31496062992125984"/>
  <pageSetup paperSize="9" orientation="portrait" horizontalDpi="4294967293" verticalDpi="0" r:id="rId1"/>
  <headerFooter>
    <oddFooter>&amp;C&amp;F                &amp;A</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workbookViewId="0">
      <pane xSplit="1" ySplit="4" topLeftCell="B5" activePane="bottomRight" state="frozenSplit"/>
      <selection pane="topRight" activeCell="B1" sqref="B1"/>
      <selection pane="bottomLeft" activeCell="A4" sqref="A4"/>
      <selection pane="bottomRight" activeCell="O18" sqref="O18"/>
    </sheetView>
  </sheetViews>
  <sheetFormatPr baseColWidth="10" defaultRowHeight="15" x14ac:dyDescent="0.25"/>
  <cols>
    <col min="1" max="1" width="18" customWidth="1"/>
    <col min="2" max="2" width="7.5703125" customWidth="1"/>
    <col min="3" max="3" width="7.42578125" customWidth="1"/>
    <col min="4" max="4" width="8" customWidth="1"/>
    <col min="5" max="5" width="8.140625" customWidth="1"/>
    <col min="6" max="6" width="9.85546875" customWidth="1"/>
    <col min="8" max="8" width="12.42578125" customWidth="1"/>
  </cols>
  <sheetData>
    <row r="2" spans="1:13" ht="21" x14ac:dyDescent="0.35">
      <c r="B2" s="768" t="s">
        <v>631</v>
      </c>
      <c r="C2" s="768"/>
      <c r="D2" s="768"/>
      <c r="E2" s="768"/>
      <c r="F2" s="768"/>
      <c r="G2" s="768"/>
      <c r="H2" s="768"/>
      <c r="I2" s="768"/>
      <c r="J2" s="768"/>
      <c r="K2" s="768"/>
      <c r="L2" s="768"/>
    </row>
    <row r="4" spans="1:13" x14ac:dyDescent="0.25">
      <c r="A4" s="495"/>
      <c r="B4" s="505" t="s">
        <v>580</v>
      </c>
      <c r="C4" s="505" t="s">
        <v>581</v>
      </c>
      <c r="D4" s="505" t="s">
        <v>582</v>
      </c>
      <c r="E4" s="505" t="s">
        <v>583</v>
      </c>
      <c r="F4" s="505" t="s">
        <v>584</v>
      </c>
      <c r="G4" s="505" t="s">
        <v>585</v>
      </c>
      <c r="H4" s="505" t="s">
        <v>586</v>
      </c>
      <c r="I4" s="505" t="s">
        <v>587</v>
      </c>
      <c r="J4" s="505" t="s">
        <v>588</v>
      </c>
      <c r="K4" s="505" t="s">
        <v>589</v>
      </c>
      <c r="L4" s="505" t="s">
        <v>590</v>
      </c>
      <c r="M4" s="505" t="s">
        <v>591</v>
      </c>
    </row>
    <row r="5" spans="1:13" x14ac:dyDescent="0.25">
      <c r="A5" s="506" t="s">
        <v>594</v>
      </c>
      <c r="B5" s="506"/>
      <c r="C5" s="506"/>
      <c r="D5" s="506"/>
      <c r="E5" s="506"/>
      <c r="F5" s="507"/>
      <c r="G5" s="769" t="s">
        <v>595</v>
      </c>
      <c r="H5" s="769"/>
      <c r="I5" s="507"/>
      <c r="J5" s="507"/>
      <c r="K5" s="507"/>
      <c r="L5" s="506"/>
      <c r="M5" s="506"/>
    </row>
    <row r="6" spans="1:13" x14ac:dyDescent="0.25">
      <c r="A6" s="508" t="s">
        <v>630</v>
      </c>
      <c r="B6" s="508"/>
      <c r="C6" s="508"/>
      <c r="D6" s="508"/>
      <c r="E6" s="508"/>
      <c r="F6" s="508"/>
      <c r="G6" s="508"/>
      <c r="H6" s="508"/>
      <c r="I6" s="508"/>
      <c r="J6" s="508"/>
      <c r="K6" s="509" t="s">
        <v>626</v>
      </c>
      <c r="L6" s="508"/>
      <c r="M6" s="508"/>
    </row>
    <row r="7" spans="1:13" x14ac:dyDescent="0.25">
      <c r="A7" s="510" t="s">
        <v>617</v>
      </c>
      <c r="B7" s="510"/>
      <c r="C7" s="510"/>
      <c r="D7" s="510"/>
      <c r="E7" s="510"/>
      <c r="F7" s="510"/>
      <c r="G7" s="510"/>
      <c r="H7" s="765" t="s">
        <v>595</v>
      </c>
      <c r="I7" s="765"/>
      <c r="J7" s="510"/>
      <c r="K7" s="510"/>
      <c r="L7" s="510"/>
      <c r="M7" s="510"/>
    </row>
    <row r="8" spans="1:13" x14ac:dyDescent="0.25">
      <c r="A8" s="508" t="s">
        <v>629</v>
      </c>
      <c r="B8" s="508"/>
      <c r="C8" s="508"/>
      <c r="D8" s="508"/>
      <c r="E8" s="508"/>
      <c r="F8" s="508"/>
      <c r="G8" s="508"/>
      <c r="H8" s="765" t="s">
        <v>616</v>
      </c>
      <c r="I8" s="765"/>
      <c r="J8" s="765"/>
      <c r="K8" s="508"/>
      <c r="L8" s="508"/>
      <c r="M8" s="508"/>
    </row>
    <row r="9" spans="1:13" x14ac:dyDescent="0.25">
      <c r="A9" s="508" t="s">
        <v>618</v>
      </c>
      <c r="B9" s="508"/>
      <c r="C9" s="508"/>
      <c r="D9" s="508"/>
      <c r="E9" s="508"/>
      <c r="F9" s="508"/>
      <c r="G9" s="508"/>
      <c r="H9" s="508"/>
      <c r="I9" s="765" t="s">
        <v>606</v>
      </c>
      <c r="J9" s="765"/>
      <c r="K9" s="765"/>
      <c r="L9" s="765"/>
      <c r="M9" s="508"/>
    </row>
    <row r="10" spans="1:13" x14ac:dyDescent="0.25">
      <c r="A10" s="511" t="s">
        <v>600</v>
      </c>
      <c r="B10" s="510"/>
      <c r="C10" s="511"/>
      <c r="D10" s="511"/>
      <c r="E10" s="511"/>
      <c r="F10" s="512"/>
      <c r="G10" s="512"/>
      <c r="H10" s="766" t="s">
        <v>601</v>
      </c>
      <c r="I10" s="766"/>
      <c r="J10" s="766"/>
      <c r="K10" s="766"/>
      <c r="L10" s="510"/>
      <c r="M10" s="510"/>
    </row>
    <row r="11" spans="1:13" x14ac:dyDescent="0.25">
      <c r="A11" s="513" t="s">
        <v>599</v>
      </c>
      <c r="B11" s="508"/>
      <c r="C11" s="513"/>
      <c r="D11" s="513"/>
      <c r="E11" s="513"/>
      <c r="F11" s="514"/>
      <c r="G11" s="766" t="s">
        <v>595</v>
      </c>
      <c r="H11" s="766"/>
      <c r="I11" s="514"/>
      <c r="J11" s="514"/>
      <c r="K11" s="514"/>
      <c r="L11" s="508"/>
      <c r="M11" s="508"/>
    </row>
    <row r="12" spans="1:13" x14ac:dyDescent="0.25">
      <c r="A12" s="510" t="s">
        <v>603</v>
      </c>
      <c r="B12" s="510"/>
      <c r="C12" s="511"/>
      <c r="D12" s="511"/>
      <c r="E12" s="511"/>
      <c r="F12" s="512"/>
      <c r="G12" s="765" t="s">
        <v>627</v>
      </c>
      <c r="H12" s="765"/>
      <c r="I12" s="765"/>
      <c r="J12" s="765" t="s">
        <v>626</v>
      </c>
      <c r="K12" s="765"/>
      <c r="L12" s="510"/>
      <c r="M12" s="510"/>
    </row>
    <row r="13" spans="1:13" x14ac:dyDescent="0.25">
      <c r="A13" s="510" t="s">
        <v>624</v>
      </c>
      <c r="B13" s="510"/>
      <c r="C13" s="510"/>
      <c r="D13" s="510"/>
      <c r="E13" s="510"/>
      <c r="F13" s="510"/>
      <c r="G13" s="510"/>
      <c r="H13" s="510"/>
      <c r="I13" s="765" t="s">
        <v>625</v>
      </c>
      <c r="J13" s="765"/>
      <c r="K13" s="765"/>
      <c r="L13" s="765"/>
      <c r="M13" s="510"/>
    </row>
    <row r="14" spans="1:13" x14ac:dyDescent="0.25">
      <c r="A14" s="508" t="s">
        <v>608</v>
      </c>
      <c r="B14" s="508"/>
      <c r="C14" s="508"/>
      <c r="D14" s="508"/>
      <c r="E14" s="508"/>
      <c r="F14" s="508"/>
      <c r="G14" s="765" t="s">
        <v>609</v>
      </c>
      <c r="H14" s="765"/>
      <c r="I14" s="508"/>
      <c r="J14" s="508"/>
      <c r="K14" s="508"/>
      <c r="L14" s="508"/>
      <c r="M14" s="508"/>
    </row>
    <row r="15" spans="1:13" x14ac:dyDescent="0.25">
      <c r="A15" s="508" t="s">
        <v>621</v>
      </c>
      <c r="B15" s="508"/>
      <c r="C15" s="508"/>
      <c r="D15" s="508"/>
      <c r="E15" s="508"/>
      <c r="F15" s="508"/>
      <c r="G15" s="765" t="s">
        <v>622</v>
      </c>
      <c r="H15" s="765"/>
      <c r="I15" s="508"/>
      <c r="J15" s="508"/>
      <c r="K15" s="508"/>
      <c r="L15" s="508"/>
      <c r="M15" s="508"/>
    </row>
    <row r="16" spans="1:13" x14ac:dyDescent="0.25">
      <c r="A16" s="510" t="s">
        <v>623</v>
      </c>
      <c r="B16" s="510"/>
      <c r="C16" s="510"/>
      <c r="D16" s="510"/>
      <c r="E16" s="510"/>
      <c r="F16" s="510"/>
      <c r="G16" s="510"/>
      <c r="H16" s="765" t="s">
        <v>616</v>
      </c>
      <c r="I16" s="765"/>
      <c r="J16" s="510"/>
      <c r="K16" s="510"/>
      <c r="L16" s="510"/>
      <c r="M16" s="510"/>
    </row>
    <row r="17" spans="1:13" x14ac:dyDescent="0.25">
      <c r="A17" s="510" t="s">
        <v>610</v>
      </c>
      <c r="B17" s="510"/>
      <c r="C17" s="510"/>
      <c r="D17" s="510"/>
      <c r="E17" s="510"/>
      <c r="F17" s="510"/>
      <c r="G17" s="510"/>
      <c r="H17" s="765" t="s">
        <v>611</v>
      </c>
      <c r="I17" s="765"/>
      <c r="J17" s="765"/>
      <c r="K17" s="765"/>
      <c r="L17" s="510"/>
      <c r="M17" s="510"/>
    </row>
    <row r="18" spans="1:13" x14ac:dyDescent="0.25">
      <c r="A18" s="508" t="s">
        <v>612</v>
      </c>
      <c r="B18" s="508"/>
      <c r="C18" s="508"/>
      <c r="D18" s="508"/>
      <c r="E18" s="508"/>
      <c r="F18" s="508"/>
      <c r="G18" s="508"/>
      <c r="H18" s="508"/>
      <c r="I18" s="508"/>
      <c r="J18" s="765" t="s">
        <v>595</v>
      </c>
      <c r="K18" s="765"/>
      <c r="L18" s="508"/>
      <c r="M18" s="508"/>
    </row>
    <row r="19" spans="1:13" x14ac:dyDescent="0.25">
      <c r="A19" s="510" t="s">
        <v>597</v>
      </c>
      <c r="B19" s="510"/>
      <c r="C19" s="510"/>
      <c r="D19" s="510"/>
      <c r="E19" s="510"/>
      <c r="F19" s="512"/>
      <c r="G19" s="512"/>
      <c r="H19" s="765" t="s">
        <v>598</v>
      </c>
      <c r="I19" s="765"/>
      <c r="J19" s="765"/>
      <c r="K19" s="512"/>
      <c r="L19" s="510"/>
      <c r="M19" s="510"/>
    </row>
    <row r="20" spans="1:13" x14ac:dyDescent="0.25">
      <c r="A20" s="513" t="s">
        <v>602</v>
      </c>
      <c r="B20" s="508"/>
      <c r="C20" s="513"/>
      <c r="D20" s="513"/>
      <c r="E20" s="513"/>
      <c r="F20" s="514"/>
      <c r="G20" s="766" t="s">
        <v>598</v>
      </c>
      <c r="H20" s="766"/>
      <c r="I20" s="766"/>
      <c r="J20" s="514"/>
      <c r="K20" s="514"/>
      <c r="L20" s="508"/>
      <c r="M20" s="508"/>
    </row>
    <row r="21" spans="1:13" x14ac:dyDescent="0.25">
      <c r="A21" s="510" t="s">
        <v>613</v>
      </c>
      <c r="B21" s="510"/>
      <c r="C21" s="510"/>
      <c r="D21" s="510"/>
      <c r="E21" s="510"/>
      <c r="F21" s="510"/>
      <c r="G21" s="510"/>
      <c r="H21" s="767" t="s">
        <v>614</v>
      </c>
      <c r="I21" s="767"/>
      <c r="J21" s="510"/>
      <c r="K21" s="510"/>
      <c r="L21" s="510"/>
      <c r="M21" s="510"/>
    </row>
    <row r="22" spans="1:13" x14ac:dyDescent="0.25">
      <c r="A22" s="508" t="s">
        <v>596</v>
      </c>
      <c r="B22" s="508"/>
      <c r="C22" s="508"/>
      <c r="D22" s="508"/>
      <c r="E22" s="508"/>
      <c r="F22" s="514"/>
      <c r="G22" s="514"/>
      <c r="H22" s="514"/>
      <c r="I22" s="514"/>
      <c r="J22" s="765" t="s">
        <v>593</v>
      </c>
      <c r="K22" s="765"/>
      <c r="L22" s="508"/>
      <c r="M22" s="508"/>
    </row>
    <row r="23" spans="1:13" x14ac:dyDescent="0.25">
      <c r="A23" s="508" t="s">
        <v>592</v>
      </c>
      <c r="B23" s="508"/>
      <c r="C23" s="508"/>
      <c r="D23" s="508"/>
      <c r="E23" s="508"/>
      <c r="F23" s="514"/>
      <c r="G23" s="514"/>
      <c r="H23" s="514"/>
      <c r="I23" s="514"/>
      <c r="J23" s="765" t="s">
        <v>593</v>
      </c>
      <c r="K23" s="765"/>
      <c r="L23" s="508"/>
      <c r="M23" s="508"/>
    </row>
    <row r="24" spans="1:13" x14ac:dyDescent="0.25">
      <c r="A24" s="508" t="s">
        <v>615</v>
      </c>
      <c r="B24" s="508"/>
      <c r="C24" s="508"/>
      <c r="D24" s="508"/>
      <c r="E24" s="508"/>
      <c r="F24" s="508"/>
      <c r="G24" s="508"/>
      <c r="H24" s="765" t="s">
        <v>616</v>
      </c>
      <c r="I24" s="765"/>
      <c r="J24" s="765"/>
      <c r="K24" s="508"/>
      <c r="L24" s="508"/>
      <c r="M24" s="508"/>
    </row>
    <row r="25" spans="1:13" x14ac:dyDescent="0.25">
      <c r="A25" s="508" t="s">
        <v>615</v>
      </c>
      <c r="B25" s="508"/>
      <c r="C25" s="508"/>
      <c r="D25" s="508"/>
      <c r="E25" s="508"/>
      <c r="F25" s="508"/>
      <c r="G25" s="508"/>
      <c r="H25" s="765" t="s">
        <v>625</v>
      </c>
      <c r="I25" s="765"/>
      <c r="J25" s="765"/>
      <c r="K25" s="508"/>
      <c r="L25" s="508"/>
      <c r="M25" s="508"/>
    </row>
    <row r="26" spans="1:13" x14ac:dyDescent="0.25">
      <c r="A26" s="510" t="s">
        <v>620</v>
      </c>
      <c r="B26" s="510"/>
      <c r="C26" s="510"/>
      <c r="D26" s="510"/>
      <c r="E26" s="510"/>
      <c r="F26" s="510"/>
      <c r="G26" s="510"/>
      <c r="H26" s="510"/>
      <c r="I26" s="510"/>
      <c r="J26" s="765" t="s">
        <v>616</v>
      </c>
      <c r="K26" s="765"/>
      <c r="L26" s="510"/>
      <c r="M26" s="510"/>
    </row>
    <row r="27" spans="1:13" x14ac:dyDescent="0.25">
      <c r="A27" s="510" t="s">
        <v>619</v>
      </c>
      <c r="B27" s="510"/>
      <c r="C27" s="510"/>
      <c r="D27" s="510"/>
      <c r="E27" s="510"/>
      <c r="F27" s="765" t="s">
        <v>628</v>
      </c>
      <c r="G27" s="765"/>
      <c r="H27" s="765"/>
      <c r="I27" s="765"/>
      <c r="J27" s="765"/>
      <c r="K27" s="510"/>
      <c r="L27" s="510"/>
      <c r="M27" s="510"/>
    </row>
    <row r="28" spans="1:13" x14ac:dyDescent="0.25">
      <c r="A28" s="508" t="s">
        <v>605</v>
      </c>
      <c r="B28" s="508"/>
      <c r="C28" s="513"/>
      <c r="D28" s="513"/>
      <c r="E28" s="513"/>
      <c r="F28" s="765" t="s">
        <v>628</v>
      </c>
      <c r="G28" s="765"/>
      <c r="H28" s="514"/>
      <c r="I28" s="514"/>
      <c r="J28" s="514"/>
      <c r="K28" s="514"/>
      <c r="L28" s="508"/>
      <c r="M28" s="508"/>
    </row>
    <row r="29" spans="1:13" x14ac:dyDescent="0.25">
      <c r="A29" s="510" t="s">
        <v>607</v>
      </c>
      <c r="B29" s="510"/>
      <c r="C29" s="511"/>
      <c r="D29" s="511"/>
      <c r="E29" s="511"/>
      <c r="F29" s="512"/>
      <c r="G29" s="512"/>
      <c r="H29" s="765" t="s">
        <v>604</v>
      </c>
      <c r="I29" s="765"/>
      <c r="J29" s="765"/>
      <c r="K29" s="512"/>
      <c r="L29" s="510"/>
      <c r="M29" s="510"/>
    </row>
  </sheetData>
  <sheetProtection password="CC70" sheet="1" objects="1" scenarios="1"/>
  <sortState ref="A5:M29">
    <sortCondition ref="A5"/>
  </sortState>
  <mergeCells count="26">
    <mergeCell ref="J26:K26"/>
    <mergeCell ref="F27:J27"/>
    <mergeCell ref="F28:G28"/>
    <mergeCell ref="H29:J29"/>
    <mergeCell ref="B2:L2"/>
    <mergeCell ref="G5:H5"/>
    <mergeCell ref="H7:I7"/>
    <mergeCell ref="I9:L9"/>
    <mergeCell ref="G11:H11"/>
    <mergeCell ref="I13:L13"/>
    <mergeCell ref="G14:H14"/>
    <mergeCell ref="H16:I16"/>
    <mergeCell ref="H17:K17"/>
    <mergeCell ref="J22:K22"/>
    <mergeCell ref="J23:K23"/>
    <mergeCell ref="H24:J24"/>
    <mergeCell ref="H25:J25"/>
    <mergeCell ref="H19:J19"/>
    <mergeCell ref="J18:K18"/>
    <mergeCell ref="G20:I20"/>
    <mergeCell ref="H21:I21"/>
    <mergeCell ref="G12:I12"/>
    <mergeCell ref="J12:K12"/>
    <mergeCell ref="G15:H15"/>
    <mergeCell ref="H8:J8"/>
    <mergeCell ref="H10:K10"/>
  </mergeCells>
  <pageMargins left="0.19685039370078741" right="0.19685039370078741" top="0.74803149606299213" bottom="0.74803149606299213" header="0.31496062992125984" footer="0.31496062992125984"/>
  <pageSetup paperSize="9" orientation="landscape" horizontalDpi="4294967294"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130" zoomScaleNormal="130" workbookViewId="0">
      <pane ySplit="2" topLeftCell="A3" activePane="bottomLeft" state="frozenSplit"/>
      <selection pane="bottomLeft" activeCell="F1" sqref="F1"/>
    </sheetView>
  </sheetViews>
  <sheetFormatPr baseColWidth="10" defaultRowHeight="15" x14ac:dyDescent="0.25"/>
  <cols>
    <col min="1" max="1" width="11.42578125" style="462"/>
    <col min="2" max="2" width="18" customWidth="1"/>
    <col min="4" max="4" width="14.28515625" customWidth="1"/>
    <col min="5" max="5" width="19.28515625" customWidth="1"/>
    <col min="6" max="6" width="7.140625" customWidth="1"/>
    <col min="7" max="7" width="14.42578125" customWidth="1"/>
  </cols>
  <sheetData>
    <row r="1" spans="2:8" ht="54.75" customHeight="1" thickBot="1" x14ac:dyDescent="0.3">
      <c r="B1" s="773"/>
      <c r="C1" s="773"/>
      <c r="D1" s="773"/>
      <c r="E1" s="528" t="s">
        <v>207</v>
      </c>
      <c r="F1" s="558">
        <v>24</v>
      </c>
      <c r="H1" s="518" t="s">
        <v>638</v>
      </c>
    </row>
    <row r="2" spans="2:8" ht="15.75" thickBot="1" x14ac:dyDescent="0.3">
      <c r="B2" s="479" t="s">
        <v>469</v>
      </c>
      <c r="C2" s="480" t="s">
        <v>470</v>
      </c>
      <c r="D2" s="481" t="s">
        <v>471</v>
      </c>
      <c r="E2" s="475"/>
      <c r="F2" s="475"/>
      <c r="G2" s="475">
        <v>0.75</v>
      </c>
      <c r="H2" s="527">
        <f>F1/G2</f>
        <v>32</v>
      </c>
    </row>
    <row r="3" spans="2:8" x14ac:dyDescent="0.25">
      <c r="B3" s="469" t="s">
        <v>472</v>
      </c>
      <c r="C3" s="474" t="s">
        <v>473</v>
      </c>
      <c r="D3" s="478" t="s">
        <v>474</v>
      </c>
      <c r="E3" s="476"/>
      <c r="F3" s="476"/>
      <c r="G3" s="476"/>
    </row>
    <row r="4" spans="2:8" x14ac:dyDescent="0.25">
      <c r="B4" s="469" t="s">
        <v>478</v>
      </c>
      <c r="C4" s="470" t="s">
        <v>479</v>
      </c>
      <c r="D4" s="477" t="s">
        <v>480</v>
      </c>
    </row>
    <row r="5" spans="2:8" x14ac:dyDescent="0.25">
      <c r="B5" s="482" t="s">
        <v>484</v>
      </c>
      <c r="C5" s="483" t="s">
        <v>485</v>
      </c>
      <c r="D5" s="483" t="s">
        <v>486</v>
      </c>
    </row>
    <row r="6" spans="2:8" x14ac:dyDescent="0.25">
      <c r="B6" s="469" t="s">
        <v>490</v>
      </c>
      <c r="C6" s="470" t="s">
        <v>491</v>
      </c>
      <c r="D6" s="470" t="s">
        <v>492</v>
      </c>
    </row>
    <row r="7" spans="2:8" x14ac:dyDescent="0.25">
      <c r="B7" s="482" t="s">
        <v>496</v>
      </c>
      <c r="C7" s="483" t="s">
        <v>497</v>
      </c>
      <c r="D7" s="483" t="s">
        <v>498</v>
      </c>
    </row>
    <row r="8" spans="2:8" x14ac:dyDescent="0.25">
      <c r="B8" s="469" t="s">
        <v>502</v>
      </c>
      <c r="C8" s="470" t="s">
        <v>503</v>
      </c>
      <c r="D8" s="470" t="s">
        <v>504</v>
      </c>
    </row>
    <row r="9" spans="2:8" x14ac:dyDescent="0.25">
      <c r="B9" s="482" t="s">
        <v>508</v>
      </c>
      <c r="C9" s="483" t="s">
        <v>509</v>
      </c>
      <c r="D9" s="483"/>
    </row>
    <row r="10" spans="2:8" x14ac:dyDescent="0.25">
      <c r="B10" s="469" t="s">
        <v>513</v>
      </c>
      <c r="C10" s="470" t="s">
        <v>509</v>
      </c>
      <c r="D10" s="470" t="s">
        <v>514</v>
      </c>
    </row>
    <row r="11" spans="2:8" x14ac:dyDescent="0.25">
      <c r="B11" s="482" t="s">
        <v>518</v>
      </c>
      <c r="C11" s="483" t="s">
        <v>519</v>
      </c>
      <c r="D11" s="483" t="s">
        <v>520</v>
      </c>
    </row>
    <row r="12" spans="2:8" x14ac:dyDescent="0.25">
      <c r="B12" s="469" t="s">
        <v>524</v>
      </c>
      <c r="C12" s="470" t="s">
        <v>525</v>
      </c>
      <c r="D12" s="470" t="s">
        <v>526</v>
      </c>
    </row>
    <row r="13" spans="2:8" x14ac:dyDescent="0.25">
      <c r="B13" s="482" t="s">
        <v>530</v>
      </c>
      <c r="C13" s="483" t="s">
        <v>476</v>
      </c>
      <c r="D13" s="483" t="s">
        <v>531</v>
      </c>
    </row>
    <row r="14" spans="2:8" x14ac:dyDescent="0.25">
      <c r="B14" s="469" t="s">
        <v>535</v>
      </c>
      <c r="C14" s="470" t="s">
        <v>536</v>
      </c>
      <c r="D14" s="470" t="s">
        <v>537</v>
      </c>
    </row>
    <row r="15" spans="2:8" ht="18" customHeight="1" x14ac:dyDescent="0.25">
      <c r="B15" s="482" t="s">
        <v>475</v>
      </c>
      <c r="C15" s="483" t="s">
        <v>476</v>
      </c>
      <c r="D15" s="483" t="s">
        <v>477</v>
      </c>
    </row>
    <row r="16" spans="2:8" ht="18" customHeight="1" x14ac:dyDescent="0.25">
      <c r="B16" s="469" t="s">
        <v>481</v>
      </c>
      <c r="C16" s="470" t="s">
        <v>482</v>
      </c>
      <c r="D16" s="470" t="s">
        <v>483</v>
      </c>
    </row>
    <row r="17" spans="2:4" ht="18" customHeight="1" x14ac:dyDescent="0.25">
      <c r="B17" s="482" t="s">
        <v>487</v>
      </c>
      <c r="C17" s="483" t="s">
        <v>488</v>
      </c>
      <c r="D17" s="483" t="s">
        <v>489</v>
      </c>
    </row>
    <row r="18" spans="2:4" ht="18" customHeight="1" x14ac:dyDescent="0.25">
      <c r="B18" s="469" t="s">
        <v>493</v>
      </c>
      <c r="C18" s="470" t="s">
        <v>494</v>
      </c>
      <c r="D18" s="470" t="s">
        <v>495</v>
      </c>
    </row>
    <row r="19" spans="2:4" ht="21" customHeight="1" x14ac:dyDescent="0.25">
      <c r="B19" s="482" t="s">
        <v>499</v>
      </c>
      <c r="C19" s="483" t="s">
        <v>500</v>
      </c>
      <c r="D19" s="483" t="s">
        <v>501</v>
      </c>
    </row>
    <row r="20" spans="2:4" ht="21" customHeight="1" x14ac:dyDescent="0.25">
      <c r="B20" s="469" t="s">
        <v>505</v>
      </c>
      <c r="C20" s="470" t="s">
        <v>506</v>
      </c>
      <c r="D20" s="470" t="s">
        <v>507</v>
      </c>
    </row>
    <row r="21" spans="2:4" ht="21" customHeight="1" x14ac:dyDescent="0.25">
      <c r="B21" s="482" t="s">
        <v>510</v>
      </c>
      <c r="C21" s="483" t="s">
        <v>511</v>
      </c>
      <c r="D21" s="483" t="s">
        <v>512</v>
      </c>
    </row>
    <row r="22" spans="2:4" ht="21" customHeight="1" x14ac:dyDescent="0.25">
      <c r="B22" s="469" t="s">
        <v>515</v>
      </c>
      <c r="C22" s="470" t="s">
        <v>516</v>
      </c>
      <c r="D22" s="470" t="s">
        <v>517</v>
      </c>
    </row>
    <row r="23" spans="2:4" ht="21" customHeight="1" x14ac:dyDescent="0.25">
      <c r="B23" s="482" t="s">
        <v>521</v>
      </c>
      <c r="C23" s="483" t="s">
        <v>522</v>
      </c>
      <c r="D23" s="483" t="s">
        <v>523</v>
      </c>
    </row>
    <row r="24" spans="2:4" ht="21" customHeight="1" x14ac:dyDescent="0.25">
      <c r="B24" s="469" t="s">
        <v>527</v>
      </c>
      <c r="C24" s="470" t="s">
        <v>528</v>
      </c>
      <c r="D24" s="470" t="s">
        <v>529</v>
      </c>
    </row>
    <row r="25" spans="2:4" ht="21" customHeight="1" x14ac:dyDescent="0.25">
      <c r="B25" s="482" t="s">
        <v>532</v>
      </c>
      <c r="C25" s="483" t="s">
        <v>533</v>
      </c>
      <c r="D25" s="483" t="s">
        <v>534</v>
      </c>
    </row>
    <row r="26" spans="2:4" x14ac:dyDescent="0.25">
      <c r="B26" s="770"/>
      <c r="C26" s="771"/>
      <c r="D26" s="772"/>
    </row>
  </sheetData>
  <sheetProtection password="CC70" sheet="1" objects="1" scenarios="1"/>
  <mergeCells count="2">
    <mergeCell ref="B26:D26"/>
    <mergeCell ref="B1:D1"/>
  </mergeCells>
  <pageMargins left="0.7" right="0.7" top="0.75" bottom="0.75" header="0.3" footer="0.3"/>
  <pageSetup paperSize="9" orientation="portrait" horizontalDpi="4294967295"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U19"/>
  <sheetViews>
    <sheetView workbookViewId="0">
      <selection activeCell="J14" sqref="J14"/>
    </sheetView>
  </sheetViews>
  <sheetFormatPr baseColWidth="10" defaultRowHeight="15" x14ac:dyDescent="0.25"/>
  <cols>
    <col min="1" max="6" width="11.42578125" style="575"/>
    <col min="7" max="7" width="9.28515625" style="575" customWidth="1"/>
    <col min="8" max="13" width="11.42578125" style="575"/>
    <col min="14" max="14" width="5.7109375" style="575" customWidth="1"/>
    <col min="15" max="15" width="12.5703125" style="575" customWidth="1"/>
    <col min="16" max="16" width="8.7109375" style="575" customWidth="1"/>
    <col min="17" max="17" width="11.7109375" style="575" customWidth="1"/>
    <col min="18" max="18" width="12.85546875" style="575" customWidth="1"/>
    <col min="19" max="19" width="2.7109375" style="575" customWidth="1"/>
    <col min="20" max="20" width="7.7109375" style="575" customWidth="1"/>
    <col min="21" max="21" width="3.85546875" style="575" customWidth="1"/>
    <col min="22" max="16384" width="11.42578125" style="575"/>
  </cols>
  <sheetData>
    <row r="2" spans="8:20" ht="20.25" x14ac:dyDescent="0.3">
      <c r="J2" s="775" t="s">
        <v>679</v>
      </c>
      <c r="K2" s="775"/>
      <c r="L2" s="775"/>
      <c r="M2" s="775"/>
    </row>
    <row r="5" spans="8:20" ht="20.25" x14ac:dyDescent="0.3">
      <c r="Q5" s="582" t="s">
        <v>680</v>
      </c>
      <c r="R5" s="583"/>
    </row>
    <row r="6" spans="8:20" x14ac:dyDescent="0.25">
      <c r="K6" s="584"/>
    </row>
    <row r="7" spans="8:20" ht="16.5" x14ac:dyDescent="0.3">
      <c r="H7" s="575" t="s">
        <v>681</v>
      </c>
      <c r="J7" s="575" t="s">
        <v>682</v>
      </c>
    </row>
    <row r="9" spans="8:20" ht="20.25" x14ac:dyDescent="0.3">
      <c r="I9" s="585" t="s">
        <v>683</v>
      </c>
      <c r="R9" s="583" t="s">
        <v>684</v>
      </c>
    </row>
    <row r="11" spans="8:20" ht="15.75" x14ac:dyDescent="0.25">
      <c r="J11" s="9" t="s">
        <v>685</v>
      </c>
      <c r="K11" s="593">
        <v>2</v>
      </c>
      <c r="P11" s="586"/>
      <c r="Q11" s="586"/>
    </row>
    <row r="12" spans="8:20" ht="15.75" x14ac:dyDescent="0.25">
      <c r="O12" s="583"/>
      <c r="P12" s="583"/>
      <c r="Q12" s="583"/>
    </row>
    <row r="13" spans="8:20" ht="16.5" thickBot="1" x14ac:dyDescent="0.3">
      <c r="H13" s="211" t="s">
        <v>686</v>
      </c>
      <c r="I13" s="211" t="s">
        <v>687</v>
      </c>
      <c r="J13" s="211" t="s">
        <v>688</v>
      </c>
      <c r="K13" s="211" t="s">
        <v>689</v>
      </c>
      <c r="L13" s="575" t="s">
        <v>690</v>
      </c>
      <c r="O13" s="583"/>
      <c r="P13" s="583"/>
      <c r="Q13" s="583"/>
    </row>
    <row r="14" spans="8:20" ht="16.5" thickBot="1" x14ac:dyDescent="0.3">
      <c r="H14" s="388">
        <v>17.5</v>
      </c>
      <c r="I14" s="388">
        <v>15.5</v>
      </c>
      <c r="J14" s="388">
        <v>17.3</v>
      </c>
      <c r="K14" s="388">
        <v>15.3</v>
      </c>
      <c r="L14" s="388">
        <v>1.2</v>
      </c>
      <c r="O14" s="583"/>
      <c r="P14" s="583"/>
      <c r="Q14" s="583"/>
    </row>
    <row r="15" spans="8:20" ht="30" customHeight="1" x14ac:dyDescent="0.25">
      <c r="O15" s="758" t="s">
        <v>206</v>
      </c>
      <c r="P15" s="758" t="s">
        <v>691</v>
      </c>
      <c r="Q15" s="758" t="s">
        <v>692</v>
      </c>
      <c r="R15" s="758" t="s">
        <v>693</v>
      </c>
      <c r="T15" s="774" t="s">
        <v>207</v>
      </c>
    </row>
    <row r="16" spans="8:20" x14ac:dyDescent="0.25">
      <c r="J16" s="211" t="s">
        <v>694</v>
      </c>
      <c r="L16" s="575" t="s">
        <v>695</v>
      </c>
      <c r="O16" s="758"/>
      <c r="P16" s="758"/>
      <c r="Q16" s="758"/>
      <c r="R16" s="758"/>
      <c r="T16" s="774"/>
    </row>
    <row r="17" spans="10:21" x14ac:dyDescent="0.25">
      <c r="J17" s="587">
        <f>($L$14*PI()/3)*(H14^2+I14^2+(H14*I14))</f>
        <v>1027.6149569892214</v>
      </c>
      <c r="K17" s="211" t="s">
        <v>696</v>
      </c>
      <c r="L17" s="588">
        <f>J17/1000</f>
        <v>1.0276149569892215</v>
      </c>
      <c r="M17" s="575" t="s">
        <v>37</v>
      </c>
      <c r="O17" s="594">
        <v>0.25</v>
      </c>
      <c r="P17" s="589">
        <f>(O17*O17)*3.14</f>
        <v>0.19625000000000001</v>
      </c>
      <c r="Q17" s="594">
        <v>1.2</v>
      </c>
      <c r="R17" s="590">
        <f>P17*Q17</f>
        <v>0.23549999999999999</v>
      </c>
      <c r="S17" s="211"/>
      <c r="T17" s="591">
        <f>R17*1000</f>
        <v>235.5</v>
      </c>
      <c r="U17" s="57" t="s">
        <v>4</v>
      </c>
    </row>
    <row r="19" spans="10:21" x14ac:dyDescent="0.25">
      <c r="K19" s="9" t="s">
        <v>697</v>
      </c>
      <c r="L19" s="592">
        <f>L14+ (K11/10)</f>
        <v>1.4</v>
      </c>
      <c r="M19" s="575" t="s">
        <v>356</v>
      </c>
    </row>
  </sheetData>
  <sheetProtection password="CC70" sheet="1" objects="1" scenarios="1"/>
  <mergeCells count="6">
    <mergeCell ref="T15:T16"/>
    <mergeCell ref="J2:M2"/>
    <mergeCell ref="O15:O16"/>
    <mergeCell ref="P15:P16"/>
    <mergeCell ref="Q15:Q16"/>
    <mergeCell ref="R15:R16"/>
  </mergeCells>
  <pageMargins left="0.7" right="0.7" top="0.75" bottom="0.75" header="0.3" footer="0.3"/>
  <pageSetup paperSize="9" orientation="portrait" horizontalDpi="4294967293"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topLeftCell="B1" workbookViewId="0">
      <selection activeCell="I8" sqref="I8"/>
    </sheetView>
  </sheetViews>
  <sheetFormatPr baseColWidth="10" defaultRowHeight="15" x14ac:dyDescent="0.25"/>
  <cols>
    <col min="1" max="1" width="17" customWidth="1"/>
    <col min="2" max="2" width="12.140625" customWidth="1"/>
    <col min="3" max="3" width="6.42578125" customWidth="1"/>
    <col min="4" max="4" width="9.28515625" customWidth="1"/>
    <col min="5" max="5" width="7" customWidth="1"/>
    <col min="6" max="6" width="4.5703125" customWidth="1"/>
    <col min="7" max="8" width="5" customWidth="1"/>
    <col min="9" max="9" width="14.140625" customWidth="1"/>
  </cols>
  <sheetData>
    <row r="2" spans="1:10" ht="21" x14ac:dyDescent="0.35">
      <c r="B2" s="776" t="s">
        <v>717</v>
      </c>
      <c r="C2" s="776"/>
      <c r="D2" s="776"/>
      <c r="E2" s="776"/>
      <c r="F2" s="776"/>
      <c r="G2" s="776"/>
      <c r="H2" s="776"/>
    </row>
    <row r="3" spans="1:10" ht="15.75" thickBot="1" x14ac:dyDescent="0.3"/>
    <row r="4" spans="1:10" x14ac:dyDescent="0.25">
      <c r="I4" s="777">
        <v>5</v>
      </c>
      <c r="J4" s="779" t="s">
        <v>37</v>
      </c>
    </row>
    <row r="5" spans="1:10" ht="16.5" thickBot="1" x14ac:dyDescent="0.3">
      <c r="A5" t="s">
        <v>551</v>
      </c>
      <c r="B5" s="608" t="s">
        <v>718</v>
      </c>
      <c r="C5">
        <v>50</v>
      </c>
      <c r="D5" t="s">
        <v>10</v>
      </c>
      <c r="E5">
        <v>0.05</v>
      </c>
      <c r="F5" t="s">
        <v>547</v>
      </c>
      <c r="I5" s="778"/>
      <c r="J5" s="779"/>
    </row>
    <row r="6" spans="1:10" ht="15.75" x14ac:dyDescent="0.25">
      <c r="A6" t="s">
        <v>258</v>
      </c>
      <c r="B6" s="609" t="s">
        <v>258</v>
      </c>
      <c r="C6">
        <v>470</v>
      </c>
      <c r="D6" t="s">
        <v>245</v>
      </c>
    </row>
    <row r="7" spans="1:10" ht="15.75" thickBot="1" x14ac:dyDescent="0.3"/>
    <row r="8" spans="1:10" ht="19.5" thickBot="1" x14ac:dyDescent="0.3">
      <c r="A8" t="s">
        <v>550</v>
      </c>
      <c r="B8" s="542" t="s">
        <v>548</v>
      </c>
      <c r="C8" s="46">
        <f>I4</f>
        <v>5</v>
      </c>
      <c r="D8" s="542" t="s">
        <v>554</v>
      </c>
      <c r="E8" s="614">
        <f>E5*C8</f>
        <v>0.25</v>
      </c>
      <c r="F8" s="613" t="s">
        <v>34</v>
      </c>
      <c r="G8" s="542" t="s">
        <v>633</v>
      </c>
      <c r="H8" s="615">
        <f>E8/E5</f>
        <v>5</v>
      </c>
      <c r="I8" s="542" t="s">
        <v>549</v>
      </c>
    </row>
    <row r="9" spans="1:10" x14ac:dyDescent="0.25">
      <c r="C9" s="490"/>
      <c r="E9" s="489"/>
    </row>
    <row r="10" spans="1:10" x14ac:dyDescent="0.25">
      <c r="A10" t="s">
        <v>370</v>
      </c>
      <c r="B10" s="584"/>
      <c r="C10" s="612"/>
      <c r="D10" s="610"/>
      <c r="E10" s="611"/>
      <c r="F10" s="491"/>
      <c r="G10" s="611"/>
      <c r="H10" s="611"/>
      <c r="I10" s="611"/>
    </row>
    <row r="11" spans="1:10" x14ac:dyDescent="0.25">
      <c r="B11" s="584"/>
      <c r="C11" s="99"/>
      <c r="D11" s="584"/>
      <c r="E11" s="584"/>
      <c r="F11" s="584"/>
      <c r="G11" s="584"/>
      <c r="H11" s="584"/>
      <c r="I11" s="584"/>
    </row>
    <row r="12" spans="1:10" x14ac:dyDescent="0.25">
      <c r="A12" t="s">
        <v>371</v>
      </c>
      <c r="B12" s="584"/>
      <c r="C12" s="612"/>
      <c r="D12" s="610"/>
      <c r="E12" s="611"/>
      <c r="F12" s="491"/>
      <c r="G12" s="611"/>
      <c r="H12" s="611"/>
      <c r="I12" s="611"/>
    </row>
    <row r="14" spans="1:10" x14ac:dyDescent="0.25">
      <c r="A14" s="121" t="s">
        <v>553</v>
      </c>
    </row>
    <row r="15" spans="1:10" x14ac:dyDescent="0.25">
      <c r="A15" s="487" t="s">
        <v>552</v>
      </c>
    </row>
  </sheetData>
  <sheetProtection password="CC70" sheet="1" objects="1" scenarios="1"/>
  <mergeCells count="3">
    <mergeCell ref="B2:H2"/>
    <mergeCell ref="I4:I5"/>
    <mergeCell ref="J4:J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9"/>
  <sheetViews>
    <sheetView workbookViewId="0">
      <selection activeCell="B3" sqref="B3"/>
    </sheetView>
  </sheetViews>
  <sheetFormatPr baseColWidth="10" defaultRowHeight="15" x14ac:dyDescent="0.25"/>
  <cols>
    <col min="4" max="4" width="22.5703125" customWidth="1"/>
    <col min="8" max="8" width="11.42578125" style="137"/>
  </cols>
  <sheetData>
    <row r="3" spans="1:10" ht="47.25" thickBot="1" x14ac:dyDescent="0.4">
      <c r="A3" s="529" t="s">
        <v>207</v>
      </c>
      <c r="B3" s="559">
        <v>10</v>
      </c>
      <c r="C3" s="104"/>
      <c r="D3" s="530" t="s">
        <v>638</v>
      </c>
      <c r="J3" s="534"/>
    </row>
    <row r="4" spans="1:10" ht="24" thickBot="1" x14ac:dyDescent="0.3">
      <c r="A4" s="531"/>
      <c r="B4" s="531"/>
      <c r="C4" s="531">
        <v>0.75</v>
      </c>
      <c r="D4" s="532">
        <f>B3/C4</f>
        <v>13.333333333333334</v>
      </c>
      <c r="H4" s="534"/>
      <c r="J4" s="535"/>
    </row>
    <row r="5" spans="1:10" ht="24" thickBot="1" x14ac:dyDescent="0.4">
      <c r="C5" s="560">
        <v>0.5</v>
      </c>
      <c r="D5" s="532">
        <f>B3/C5</f>
        <v>20</v>
      </c>
      <c r="H5" s="534"/>
    </row>
    <row r="6" spans="1:10" ht="24" thickBot="1" x14ac:dyDescent="0.4">
      <c r="C6" s="561">
        <v>1.5</v>
      </c>
      <c r="D6" s="532">
        <f>B3/C6</f>
        <v>6.666666666666667</v>
      </c>
      <c r="H6" s="534"/>
    </row>
    <row r="7" spans="1:10" ht="21" x14ac:dyDescent="0.25">
      <c r="H7" s="534"/>
    </row>
    <row r="8" spans="1:10" ht="21" x14ac:dyDescent="0.25">
      <c r="H8" s="534"/>
    </row>
    <row r="9" spans="1:10" ht="21" x14ac:dyDescent="0.25">
      <c r="H9" s="534"/>
    </row>
    <row r="10" spans="1:10" ht="21" x14ac:dyDescent="0.25">
      <c r="H10" s="534"/>
    </row>
    <row r="11" spans="1:10" ht="21" x14ac:dyDescent="0.25">
      <c r="H11" s="534"/>
    </row>
    <row r="12" spans="1:10" ht="21" x14ac:dyDescent="0.25">
      <c r="H12" s="534"/>
    </row>
    <row r="13" spans="1:10" ht="21" x14ac:dyDescent="0.25">
      <c r="H13" s="534"/>
    </row>
    <row r="14" spans="1:10" ht="21" x14ac:dyDescent="0.25">
      <c r="H14" s="534"/>
    </row>
    <row r="15" spans="1:10" ht="21" x14ac:dyDescent="0.25">
      <c r="H15" s="534"/>
    </row>
    <row r="16" spans="1:10" ht="21" x14ac:dyDescent="0.25">
      <c r="H16" s="534"/>
    </row>
    <row r="17" spans="8:8" ht="21" x14ac:dyDescent="0.25">
      <c r="H17" s="534"/>
    </row>
    <row r="18" spans="8:8" ht="21" x14ac:dyDescent="0.25">
      <c r="H18" s="534"/>
    </row>
    <row r="19" spans="8:8" ht="21" x14ac:dyDescent="0.25">
      <c r="H19" s="534"/>
    </row>
    <row r="20" spans="8:8" ht="21" x14ac:dyDescent="0.25">
      <c r="H20" s="534"/>
    </row>
    <row r="21" spans="8:8" ht="21" x14ac:dyDescent="0.25">
      <c r="H21" s="534"/>
    </row>
    <row r="22" spans="8:8" ht="21" x14ac:dyDescent="0.25">
      <c r="H22" s="534"/>
    </row>
    <row r="23" spans="8:8" ht="21" x14ac:dyDescent="0.25">
      <c r="H23" s="534"/>
    </row>
    <row r="24" spans="8:8" ht="21" x14ac:dyDescent="0.25">
      <c r="H24" s="534"/>
    </row>
    <row r="25" spans="8:8" ht="21" x14ac:dyDescent="0.25">
      <c r="H25" s="534"/>
    </row>
    <row r="26" spans="8:8" ht="21" x14ac:dyDescent="0.25">
      <c r="H26" s="534"/>
    </row>
    <row r="27" spans="8:8" ht="21" x14ac:dyDescent="0.25">
      <c r="H27" s="534"/>
    </row>
    <row r="28" spans="8:8" ht="21" x14ac:dyDescent="0.25">
      <c r="H28" s="534"/>
    </row>
    <row r="29" spans="8:8" ht="21" x14ac:dyDescent="0.25">
      <c r="H29" s="534"/>
    </row>
  </sheetData>
  <sheetProtection password="CC7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3"/>
  <sheetViews>
    <sheetView workbookViewId="0">
      <selection activeCell="O8" sqref="O8"/>
    </sheetView>
  </sheetViews>
  <sheetFormatPr baseColWidth="10" defaultRowHeight="15" x14ac:dyDescent="0.25"/>
  <cols>
    <col min="1" max="1" width="12.85546875" customWidth="1"/>
    <col min="2" max="2" width="8.5703125" style="533" customWidth="1"/>
    <col min="3" max="3" width="7.5703125" style="533" customWidth="1"/>
    <col min="4" max="4" width="7.28515625" style="533" customWidth="1"/>
    <col min="5" max="5" width="3.28515625" style="533" customWidth="1"/>
    <col min="6" max="6" width="6" customWidth="1"/>
    <col min="8" max="8" width="4.28515625" customWidth="1"/>
    <col min="9" max="9" width="8.5703125" customWidth="1"/>
    <col min="10" max="10" width="1.28515625" style="533" customWidth="1"/>
    <col min="11" max="11" width="9" style="533" customWidth="1"/>
    <col min="12" max="12" width="21.7109375" customWidth="1"/>
    <col min="13" max="13" width="1.140625" customWidth="1"/>
    <col min="14" max="14" width="7.85546875" customWidth="1"/>
    <col min="15" max="15" width="19.5703125" customWidth="1"/>
  </cols>
  <sheetData>
    <row r="3" spans="1:15" ht="15.75" thickBot="1" x14ac:dyDescent="0.3">
      <c r="F3" s="211" t="s">
        <v>648</v>
      </c>
    </row>
    <row r="4" spans="1:15" ht="27" thickBot="1" x14ac:dyDescent="0.3">
      <c r="A4" s="541">
        <v>1</v>
      </c>
      <c r="B4" s="542" t="s">
        <v>639</v>
      </c>
      <c r="C4" s="541">
        <v>1000</v>
      </c>
      <c r="D4" s="542" t="s">
        <v>245</v>
      </c>
      <c r="E4" s="542"/>
      <c r="F4" s="542">
        <v>25</v>
      </c>
      <c r="G4" s="537" t="s">
        <v>245</v>
      </c>
      <c r="H4" s="46">
        <f>C4/F4</f>
        <v>40</v>
      </c>
      <c r="I4" s="543" t="s">
        <v>640</v>
      </c>
      <c r="K4" s="602">
        <v>2</v>
      </c>
      <c r="L4" s="81" t="s">
        <v>641</v>
      </c>
      <c r="M4" s="81"/>
      <c r="N4" s="536">
        <f>K4*H4</f>
        <v>80</v>
      </c>
      <c r="O4" s="81" t="s">
        <v>642</v>
      </c>
    </row>
    <row r="5" spans="1:15" ht="15.75" thickBot="1" x14ac:dyDescent="0.3"/>
    <row r="6" spans="1:15" ht="30.75" thickBot="1" x14ac:dyDescent="0.3">
      <c r="A6" s="121" t="s">
        <v>643</v>
      </c>
      <c r="B6" s="603">
        <v>15</v>
      </c>
      <c r="C6" s="115" t="s">
        <v>644</v>
      </c>
      <c r="G6" s="535">
        <f>N4*B6</f>
        <v>1200</v>
      </c>
      <c r="H6" s="537" t="s">
        <v>645</v>
      </c>
      <c r="K6" s="534">
        <f>B6</f>
        <v>15</v>
      </c>
      <c r="L6" s="539" t="s">
        <v>4</v>
      </c>
    </row>
    <row r="8" spans="1:15" ht="23.25" x14ac:dyDescent="0.35">
      <c r="A8" s="104" t="s">
        <v>646</v>
      </c>
      <c r="D8" s="538">
        <v>0.05</v>
      </c>
      <c r="E8" s="538" t="s">
        <v>245</v>
      </c>
      <c r="H8" s="540" t="s">
        <v>647</v>
      </c>
      <c r="I8" s="104">
        <f>G6*D8</f>
        <v>60</v>
      </c>
      <c r="K8" s="104" t="s">
        <v>245</v>
      </c>
    </row>
    <row r="11" spans="1:15" ht="18.75" x14ac:dyDescent="0.3">
      <c r="H11" s="601" t="s">
        <v>657</v>
      </c>
    </row>
    <row r="12" spans="1:15" ht="21" x14ac:dyDescent="0.35">
      <c r="A12" s="544">
        <v>1</v>
      </c>
      <c r="B12" s="544" t="s">
        <v>649</v>
      </c>
      <c r="C12" s="533" t="s">
        <v>650</v>
      </c>
      <c r="G12" s="600">
        <f>1/100*I8</f>
        <v>0.6</v>
      </c>
      <c r="H12" s="600" t="s">
        <v>649</v>
      </c>
      <c r="I12" s="600">
        <f>B6</f>
        <v>15</v>
      </c>
      <c r="J12" s="600" t="s">
        <v>4</v>
      </c>
    </row>
    <row r="18" spans="1:1" s="538" customFormat="1" ht="18.75" x14ac:dyDescent="0.3">
      <c r="A18" s="543" t="s">
        <v>652</v>
      </c>
    </row>
    <row r="19" spans="1:1" s="538" customFormat="1" ht="18.75" x14ac:dyDescent="0.3">
      <c r="A19" s="545" t="s">
        <v>656</v>
      </c>
    </row>
    <row r="20" spans="1:1" s="538" customFormat="1" ht="18.75" x14ac:dyDescent="0.3">
      <c r="A20" s="546" t="s">
        <v>659</v>
      </c>
    </row>
    <row r="21" spans="1:1" s="538" customFormat="1" ht="18.75" x14ac:dyDescent="0.3">
      <c r="A21" s="546" t="s">
        <v>655</v>
      </c>
    </row>
    <row r="22" spans="1:1" s="538" customFormat="1" ht="18.75" x14ac:dyDescent="0.3">
      <c r="A22" s="543" t="s">
        <v>653</v>
      </c>
    </row>
    <row r="23" spans="1:1" s="538" customFormat="1" ht="18.75" x14ac:dyDescent="0.3">
      <c r="A23" s="543" t="s">
        <v>654</v>
      </c>
    </row>
  </sheetData>
  <sheetProtection password="CC70" sheet="1" objects="1" scenarios="1"/>
  <pageMargins left="0.44" right="0.25" top="0.27" bottom="0.17" header="0.3" footer="0.3"/>
  <pageSetup paperSize="9" orientation="landscape" horizontalDpi="4294967294"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1"/>
  <sheetViews>
    <sheetView tabSelected="1" workbookViewId="0">
      <pane xSplit="19" ySplit="22" topLeftCell="T23" activePane="bottomRight" state="frozenSplit"/>
      <selection pane="topRight" activeCell="T1" sqref="T1"/>
      <selection pane="bottomLeft" activeCell="A23" sqref="A23"/>
      <selection pane="bottomRight" activeCell="M16" sqref="M16"/>
    </sheetView>
  </sheetViews>
  <sheetFormatPr baseColWidth="10" defaultRowHeight="15" x14ac:dyDescent="0.25"/>
  <cols>
    <col min="18" max="18" width="11" customWidth="1"/>
    <col min="19" max="19" width="16.28515625" customWidth="1"/>
  </cols>
  <sheetData>
    <row r="2" spans="1:19" ht="31.5" x14ac:dyDescent="0.5">
      <c r="A2" s="551" t="s">
        <v>663</v>
      </c>
    </row>
    <row r="3" spans="1:19" ht="31.5" x14ac:dyDescent="0.5">
      <c r="A3" s="551" t="s">
        <v>662</v>
      </c>
    </row>
    <row r="4" spans="1:19" ht="31.5" x14ac:dyDescent="0.5">
      <c r="A4" s="551" t="s">
        <v>660</v>
      </c>
    </row>
    <row r="5" spans="1:19" ht="31.5" x14ac:dyDescent="0.5">
      <c r="A5" s="551"/>
    </row>
    <row r="6" spans="1:19" ht="76.5" customHeight="1" x14ac:dyDescent="0.25">
      <c r="A6" s="780" t="s">
        <v>661</v>
      </c>
      <c r="B6" s="780"/>
      <c r="C6" s="780"/>
      <c r="D6" s="780"/>
      <c r="E6" s="780"/>
      <c r="F6" s="780"/>
      <c r="G6" s="780"/>
      <c r="H6" s="780"/>
      <c r="I6" s="780"/>
      <c r="J6" s="780"/>
      <c r="K6" s="780"/>
      <c r="L6" s="780"/>
      <c r="M6" s="780"/>
      <c r="N6" s="780"/>
      <c r="O6" s="780"/>
      <c r="P6" s="780"/>
      <c r="Q6" s="780"/>
      <c r="R6" s="780"/>
      <c r="S6" s="780"/>
    </row>
    <row r="8" spans="1:19" ht="31.5" x14ac:dyDescent="0.5">
      <c r="A8" s="551"/>
    </row>
    <row r="21" ht="18" customHeight="1" x14ac:dyDescent="0.25"/>
  </sheetData>
  <sheetProtection password="CC70" sheet="1" objects="1" scenarios="1"/>
  <mergeCells count="1">
    <mergeCell ref="A6:S6"/>
  </mergeCells>
  <pageMargins left="0.7" right="0.7" top="0.75" bottom="0.75" header="0.3" footer="0.3"/>
  <pageSetup paperSize="9" orientation="portrait" horizontalDpi="4294967295"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workbookViewId="0">
      <pane ySplit="3" topLeftCell="A4" activePane="bottomLeft" state="frozenSplit"/>
      <selection pane="bottomLeft" activeCell="H27" sqref="H27"/>
    </sheetView>
  </sheetViews>
  <sheetFormatPr baseColWidth="10" defaultRowHeight="15" x14ac:dyDescent="0.25"/>
  <cols>
    <col min="1" max="1" width="41.140625" customWidth="1"/>
    <col min="2" max="2" width="9.7109375" style="9" customWidth="1"/>
    <col min="3" max="3" width="1.85546875" style="2" customWidth="1"/>
    <col min="4" max="4" width="5" customWidth="1"/>
    <col min="5" max="5" width="4.7109375" customWidth="1"/>
    <col min="6" max="6" width="8.85546875" style="1" customWidth="1"/>
    <col min="7" max="7" width="11.42578125" style="1"/>
    <col min="8" max="8" width="17.7109375" customWidth="1"/>
    <col min="10" max="10" width="18.28515625" style="495" customWidth="1"/>
  </cols>
  <sheetData>
    <row r="1" spans="1:22" ht="18.75" x14ac:dyDescent="0.25">
      <c r="A1" s="680" t="s">
        <v>153</v>
      </c>
      <c r="B1" s="680"/>
      <c r="C1" s="680"/>
      <c r="D1" s="680"/>
      <c r="E1" s="680"/>
      <c r="F1" s="680"/>
      <c r="G1" s="680"/>
      <c r="H1" s="680"/>
      <c r="I1" s="81"/>
      <c r="J1" s="81"/>
      <c r="K1" s="81"/>
      <c r="L1" s="81"/>
      <c r="M1" s="81"/>
      <c r="N1" s="81"/>
    </row>
    <row r="2" spans="1:22" ht="15" customHeight="1" x14ac:dyDescent="0.25">
      <c r="A2" s="81"/>
      <c r="B2" s="25" t="s">
        <v>157</v>
      </c>
      <c r="C2" s="115"/>
      <c r="D2" s="681" t="s">
        <v>150</v>
      </c>
      <c r="E2" s="681"/>
      <c r="F2" s="25" t="s">
        <v>165</v>
      </c>
      <c r="G2" s="25" t="s">
        <v>159</v>
      </c>
      <c r="H2" s="681" t="s">
        <v>577</v>
      </c>
    </row>
    <row r="3" spans="1:22" ht="15.75" thickBot="1" x14ac:dyDescent="0.3">
      <c r="A3" s="81"/>
      <c r="B3" s="25" t="s">
        <v>158</v>
      </c>
      <c r="C3" s="115"/>
      <c r="D3" s="681"/>
      <c r="E3" s="681"/>
      <c r="F3" s="25"/>
      <c r="G3" s="25" t="s">
        <v>160</v>
      </c>
      <c r="H3" s="681"/>
    </row>
    <row r="4" spans="1:22" ht="16.5" thickTop="1" x14ac:dyDescent="0.25">
      <c r="A4" s="167" t="s">
        <v>146</v>
      </c>
      <c r="B4" s="168">
        <v>15</v>
      </c>
      <c r="C4" s="169" t="s">
        <v>108</v>
      </c>
      <c r="D4" s="170"/>
      <c r="E4" s="170"/>
      <c r="F4" s="171" t="s">
        <v>166</v>
      </c>
      <c r="G4" s="172" t="s">
        <v>178</v>
      </c>
      <c r="J4" s="99"/>
      <c r="K4" s="99"/>
      <c r="L4" s="99"/>
      <c r="M4" s="99"/>
      <c r="N4" s="99"/>
      <c r="O4" s="99"/>
      <c r="P4" s="99"/>
      <c r="Q4" s="99"/>
      <c r="R4" s="99"/>
      <c r="S4" s="99"/>
      <c r="T4" s="99"/>
      <c r="U4" s="99"/>
      <c r="V4" s="99"/>
    </row>
    <row r="5" spans="1:22" x14ac:dyDescent="0.25">
      <c r="A5" s="173" t="s">
        <v>147</v>
      </c>
      <c r="B5" s="174">
        <v>12</v>
      </c>
      <c r="C5" s="175" t="s">
        <v>108</v>
      </c>
      <c r="D5" s="176">
        <v>42</v>
      </c>
      <c r="E5" s="176" t="s">
        <v>151</v>
      </c>
      <c r="F5" s="177"/>
      <c r="G5" s="178"/>
      <c r="J5" s="99"/>
      <c r="K5" s="99"/>
      <c r="L5" s="99"/>
      <c r="M5" s="99"/>
      <c r="N5" s="99"/>
      <c r="O5" s="502"/>
      <c r="P5" s="502"/>
      <c r="Q5" s="502"/>
      <c r="R5" s="502"/>
      <c r="S5" s="682"/>
      <c r="T5" s="682"/>
      <c r="U5" s="99"/>
      <c r="V5" s="99"/>
    </row>
    <row r="6" spans="1:22" x14ac:dyDescent="0.25">
      <c r="A6" s="179" t="s">
        <v>148</v>
      </c>
      <c r="B6" s="174">
        <v>14</v>
      </c>
      <c r="C6" s="175" t="s">
        <v>108</v>
      </c>
      <c r="D6" s="176"/>
      <c r="E6" s="176" t="s">
        <v>151</v>
      </c>
      <c r="F6" s="177"/>
      <c r="G6" s="178" t="s">
        <v>264</v>
      </c>
      <c r="J6" s="99"/>
      <c r="K6" s="99"/>
      <c r="L6" s="99"/>
      <c r="M6" s="99"/>
      <c r="N6" s="99"/>
      <c r="O6" s="502"/>
      <c r="P6" s="682"/>
      <c r="Q6" s="682"/>
      <c r="R6" s="502"/>
      <c r="S6" s="502"/>
      <c r="T6" s="502"/>
      <c r="U6" s="99"/>
      <c r="V6" s="99"/>
    </row>
    <row r="7" spans="1:22" x14ac:dyDescent="0.25">
      <c r="A7" s="179" t="s">
        <v>149</v>
      </c>
      <c r="B7" s="174">
        <v>16</v>
      </c>
      <c r="C7" s="175" t="s">
        <v>108</v>
      </c>
      <c r="D7" s="176"/>
      <c r="E7" s="176" t="s">
        <v>151</v>
      </c>
      <c r="F7" s="177" t="s">
        <v>266</v>
      </c>
      <c r="G7" s="178" t="s">
        <v>265</v>
      </c>
      <c r="J7" s="99"/>
      <c r="K7" s="99"/>
      <c r="L7" s="99"/>
      <c r="M7" s="99"/>
      <c r="N7" s="99"/>
      <c r="O7" s="502"/>
      <c r="P7" s="502"/>
      <c r="Q7" s="502"/>
      <c r="R7" s="502"/>
      <c r="S7" s="682"/>
      <c r="T7" s="682"/>
      <c r="U7" s="99"/>
      <c r="V7" s="99"/>
    </row>
    <row r="8" spans="1:22" x14ac:dyDescent="0.25">
      <c r="A8" s="180" t="s">
        <v>152</v>
      </c>
      <c r="B8" s="174">
        <v>16</v>
      </c>
      <c r="C8" s="175" t="s">
        <v>108</v>
      </c>
      <c r="D8" s="176">
        <v>26</v>
      </c>
      <c r="E8" s="176" t="s">
        <v>151</v>
      </c>
      <c r="F8" s="177"/>
      <c r="G8" s="178" t="s">
        <v>235</v>
      </c>
      <c r="J8" s="99"/>
      <c r="K8" s="99"/>
      <c r="L8" s="99"/>
      <c r="M8" s="99"/>
      <c r="N8" s="99"/>
      <c r="O8" s="502"/>
      <c r="P8" s="502"/>
      <c r="Q8" s="682"/>
      <c r="R8" s="682"/>
      <c r="S8" s="682"/>
      <c r="T8" s="502"/>
      <c r="U8" s="99"/>
      <c r="V8" s="99"/>
    </row>
    <row r="9" spans="1:22" x14ac:dyDescent="0.25">
      <c r="A9" s="181" t="s">
        <v>182</v>
      </c>
      <c r="B9" s="174">
        <v>14</v>
      </c>
      <c r="C9" s="175" t="s">
        <v>108</v>
      </c>
      <c r="D9" s="176"/>
      <c r="E9" s="176"/>
      <c r="F9" s="177"/>
      <c r="G9" s="178"/>
      <c r="J9" s="219"/>
      <c r="K9" s="99"/>
      <c r="L9" s="219"/>
      <c r="M9" s="219"/>
      <c r="N9" s="219"/>
      <c r="O9" s="502"/>
      <c r="P9" s="683"/>
      <c r="Q9" s="683"/>
      <c r="R9" s="502"/>
      <c r="S9" s="502"/>
      <c r="T9" s="502"/>
      <c r="U9" s="99"/>
      <c r="V9" s="99"/>
    </row>
    <row r="10" spans="1:22" x14ac:dyDescent="0.25">
      <c r="A10" s="179" t="s">
        <v>154</v>
      </c>
      <c r="B10" s="174">
        <v>13</v>
      </c>
      <c r="C10" s="175" t="s">
        <v>108</v>
      </c>
      <c r="D10" s="176">
        <v>24</v>
      </c>
      <c r="E10" s="176"/>
      <c r="F10" s="177"/>
      <c r="G10" s="178"/>
      <c r="J10" s="219"/>
      <c r="K10" s="99"/>
      <c r="L10" s="219"/>
      <c r="M10" s="219"/>
      <c r="N10" s="219"/>
      <c r="O10" s="502"/>
      <c r="P10" s="502"/>
      <c r="Q10" s="683"/>
      <c r="R10" s="683"/>
      <c r="S10" s="683"/>
      <c r="T10" s="683"/>
      <c r="U10" s="99"/>
      <c r="V10" s="99"/>
    </row>
    <row r="11" spans="1:22" x14ac:dyDescent="0.25">
      <c r="A11" s="179" t="s">
        <v>155</v>
      </c>
      <c r="B11" s="174">
        <v>16</v>
      </c>
      <c r="C11" s="175" t="s">
        <v>108</v>
      </c>
      <c r="D11" s="176"/>
      <c r="E11" s="176"/>
      <c r="F11" s="177"/>
      <c r="G11" s="178"/>
      <c r="J11" s="219"/>
      <c r="K11" s="99"/>
      <c r="L11" s="219"/>
      <c r="M11" s="219"/>
      <c r="N11" s="219"/>
      <c r="O11" s="502"/>
      <c r="P11" s="683"/>
      <c r="Q11" s="683"/>
      <c r="R11" s="683"/>
      <c r="S11" s="502"/>
      <c r="T11" s="502"/>
      <c r="U11" s="99"/>
      <c r="V11" s="99"/>
    </row>
    <row r="12" spans="1:22" x14ac:dyDescent="0.25">
      <c r="A12" s="182" t="s">
        <v>156</v>
      </c>
      <c r="B12" s="174">
        <v>15</v>
      </c>
      <c r="C12" s="175" t="s">
        <v>108</v>
      </c>
      <c r="D12" s="176"/>
      <c r="E12" s="176"/>
      <c r="F12" s="177" t="s">
        <v>166</v>
      </c>
      <c r="G12" s="178" t="s">
        <v>161</v>
      </c>
      <c r="J12" s="99"/>
      <c r="K12" s="99"/>
      <c r="L12" s="219"/>
      <c r="M12" s="219"/>
      <c r="N12" s="219"/>
      <c r="O12" s="502"/>
      <c r="P12" s="682"/>
      <c r="Q12" s="682"/>
      <c r="R12" s="682"/>
      <c r="S12" s="682"/>
      <c r="T12" s="682"/>
      <c r="U12" s="99"/>
      <c r="V12" s="99"/>
    </row>
    <row r="13" spans="1:22" x14ac:dyDescent="0.25">
      <c r="A13" s="183" t="s">
        <v>162</v>
      </c>
      <c r="B13" s="174">
        <v>14</v>
      </c>
      <c r="C13" s="175" t="s">
        <v>108</v>
      </c>
      <c r="D13" s="176"/>
      <c r="E13" s="176"/>
      <c r="F13" s="177" t="s">
        <v>166</v>
      </c>
      <c r="G13" s="184" t="s">
        <v>163</v>
      </c>
      <c r="H13" s="81"/>
      <c r="I13" s="81"/>
      <c r="J13" s="99"/>
      <c r="K13" s="99"/>
      <c r="L13" s="219"/>
      <c r="M13" s="219"/>
      <c r="N13" s="219"/>
      <c r="O13" s="682"/>
      <c r="P13" s="682"/>
      <c r="Q13" s="502"/>
      <c r="R13" s="502"/>
      <c r="S13" s="502"/>
      <c r="T13" s="502"/>
      <c r="U13" s="99"/>
      <c r="V13" s="99"/>
    </row>
    <row r="14" spans="1:22" s="139" customFormat="1" x14ac:dyDescent="0.25">
      <c r="A14" s="183" t="s">
        <v>236</v>
      </c>
      <c r="B14" s="174"/>
      <c r="C14" s="175"/>
      <c r="D14" s="176"/>
      <c r="E14" s="176"/>
      <c r="F14" s="177"/>
      <c r="G14" s="184" t="s">
        <v>237</v>
      </c>
      <c r="H14" s="81"/>
      <c r="I14" s="81"/>
      <c r="J14" s="99"/>
      <c r="K14" s="99"/>
      <c r="L14" s="219"/>
      <c r="M14" s="219"/>
      <c r="N14" s="219"/>
      <c r="O14" s="502"/>
      <c r="P14" s="502"/>
      <c r="Q14" s="682"/>
      <c r="R14" s="682"/>
      <c r="S14" s="682"/>
      <c r="T14" s="502"/>
      <c r="U14" s="99"/>
      <c r="V14" s="99"/>
    </row>
    <row r="15" spans="1:22" s="139" customFormat="1" x14ac:dyDescent="0.25">
      <c r="A15" s="183" t="s">
        <v>238</v>
      </c>
      <c r="B15" s="174">
        <v>12</v>
      </c>
      <c r="C15" s="175" t="s">
        <v>108</v>
      </c>
      <c r="D15" s="176">
        <v>5</v>
      </c>
      <c r="E15" s="176" t="s">
        <v>34</v>
      </c>
      <c r="F15" s="177" t="s">
        <v>385</v>
      </c>
      <c r="G15" s="184" t="s">
        <v>384</v>
      </c>
      <c r="H15" s="81"/>
      <c r="I15" s="81"/>
      <c r="J15" s="99"/>
      <c r="K15" s="99"/>
      <c r="L15" s="99"/>
      <c r="M15" s="99"/>
      <c r="N15" s="99"/>
      <c r="O15" s="99"/>
      <c r="P15" s="682"/>
      <c r="Q15" s="682"/>
      <c r="R15" s="99"/>
      <c r="S15" s="99"/>
      <c r="T15" s="99"/>
      <c r="U15" s="99"/>
      <c r="V15" s="99"/>
    </row>
    <row r="16" spans="1:22" s="139" customFormat="1" x14ac:dyDescent="0.25">
      <c r="A16" s="183" t="s">
        <v>239</v>
      </c>
      <c r="B16" s="174"/>
      <c r="C16" s="175"/>
      <c r="D16" s="176"/>
      <c r="E16" s="176"/>
      <c r="F16" s="177"/>
      <c r="G16" s="184" t="s">
        <v>178</v>
      </c>
      <c r="H16" s="81"/>
      <c r="I16" s="81"/>
      <c r="J16" s="99"/>
      <c r="K16" s="99"/>
      <c r="L16" s="99"/>
      <c r="M16" s="99"/>
      <c r="N16" s="99"/>
      <c r="O16" s="99"/>
      <c r="P16" s="99"/>
      <c r="Q16" s="684"/>
      <c r="R16" s="684"/>
      <c r="S16" s="684"/>
      <c r="T16" s="684"/>
      <c r="U16" s="99"/>
      <c r="V16" s="99"/>
    </row>
    <row r="17" spans="1:22" x14ac:dyDescent="0.25">
      <c r="A17" s="183" t="s">
        <v>164</v>
      </c>
      <c r="B17" s="174">
        <v>17</v>
      </c>
      <c r="C17" s="175" t="s">
        <v>108</v>
      </c>
      <c r="D17" s="176"/>
      <c r="E17" s="176"/>
      <c r="F17" s="177" t="s">
        <v>167</v>
      </c>
      <c r="G17" s="178" t="s">
        <v>168</v>
      </c>
      <c r="H17" s="81"/>
      <c r="I17" s="81"/>
      <c r="J17" s="99"/>
      <c r="K17" s="99"/>
      <c r="L17" s="99"/>
      <c r="M17" s="99"/>
      <c r="N17" s="99"/>
      <c r="O17" s="99"/>
      <c r="P17" s="99"/>
      <c r="Q17" s="99"/>
      <c r="R17" s="99"/>
      <c r="S17" s="684"/>
      <c r="T17" s="684"/>
      <c r="U17" s="99"/>
      <c r="V17" s="99"/>
    </row>
    <row r="18" spans="1:22" s="139" customFormat="1" x14ac:dyDescent="0.25">
      <c r="A18" s="185" t="s">
        <v>242</v>
      </c>
      <c r="B18" s="174"/>
      <c r="C18" s="175"/>
      <c r="D18" s="176"/>
      <c r="E18" s="176"/>
      <c r="F18" s="177"/>
      <c r="G18" s="178" t="s">
        <v>243</v>
      </c>
      <c r="H18" s="81"/>
      <c r="I18" s="81"/>
      <c r="J18" s="99"/>
      <c r="K18" s="99"/>
      <c r="L18" s="99"/>
      <c r="M18" s="99"/>
      <c r="N18" s="99"/>
      <c r="O18" s="99"/>
      <c r="P18" s="99"/>
      <c r="Q18" s="684"/>
      <c r="R18" s="684"/>
      <c r="S18" s="99"/>
      <c r="T18" s="99"/>
      <c r="U18" s="99"/>
      <c r="V18" s="99"/>
    </row>
    <row r="19" spans="1:22" x14ac:dyDescent="0.25">
      <c r="A19" s="678" t="s">
        <v>169</v>
      </c>
      <c r="B19" s="186"/>
      <c r="C19" s="187"/>
      <c r="D19" s="188"/>
      <c r="E19" s="188"/>
      <c r="F19" s="189" t="s">
        <v>171</v>
      </c>
      <c r="G19" s="184" t="s">
        <v>170</v>
      </c>
      <c r="J19" s="99"/>
      <c r="K19" s="99"/>
      <c r="L19" s="99"/>
      <c r="M19" s="99"/>
      <c r="N19" s="99"/>
      <c r="O19" s="99"/>
      <c r="P19" s="99"/>
      <c r="Q19" s="684"/>
      <c r="R19" s="684"/>
      <c r="S19" s="684"/>
      <c r="T19" s="99"/>
      <c r="U19" s="99"/>
      <c r="V19" s="99"/>
    </row>
    <row r="20" spans="1:22" x14ac:dyDescent="0.25">
      <c r="A20" s="678"/>
      <c r="B20" s="186"/>
      <c r="C20" s="187"/>
      <c r="D20" s="188"/>
      <c r="E20" s="188"/>
      <c r="F20" s="189" t="s">
        <v>172</v>
      </c>
      <c r="G20" s="184"/>
      <c r="J20" s="99"/>
      <c r="K20" s="99"/>
      <c r="L20" s="99"/>
      <c r="M20" s="99"/>
      <c r="N20" s="99"/>
      <c r="O20" s="99"/>
      <c r="P20" s="99"/>
      <c r="Q20" s="684"/>
      <c r="R20" s="684"/>
      <c r="S20" s="99"/>
      <c r="T20" s="99"/>
      <c r="U20" s="99"/>
      <c r="V20" s="99"/>
    </row>
    <row r="21" spans="1:22" x14ac:dyDescent="0.25">
      <c r="A21" s="190" t="s">
        <v>173</v>
      </c>
      <c r="B21" s="191" t="s">
        <v>174</v>
      </c>
      <c r="C21" s="187" t="s">
        <v>108</v>
      </c>
      <c r="D21" s="192" t="s">
        <v>176</v>
      </c>
      <c r="E21" s="188" t="s">
        <v>151</v>
      </c>
      <c r="F21" s="189" t="s">
        <v>166</v>
      </c>
      <c r="G21" s="184" t="s">
        <v>175</v>
      </c>
      <c r="J21" s="99"/>
      <c r="K21" s="99"/>
      <c r="L21" s="99"/>
      <c r="M21" s="99"/>
      <c r="N21" s="99"/>
      <c r="O21" s="99"/>
      <c r="P21" s="99"/>
      <c r="Q21" s="99"/>
      <c r="R21" s="684"/>
      <c r="S21" s="684"/>
      <c r="T21" s="684"/>
      <c r="U21" s="684"/>
      <c r="V21" s="99"/>
    </row>
    <row r="22" spans="1:22" x14ac:dyDescent="0.25">
      <c r="A22" s="678" t="s">
        <v>177</v>
      </c>
      <c r="B22" s="679">
        <v>16</v>
      </c>
      <c r="C22" s="187" t="s">
        <v>108</v>
      </c>
      <c r="D22" s="188"/>
      <c r="E22" s="188"/>
      <c r="F22" s="189" t="s">
        <v>171</v>
      </c>
      <c r="G22" s="184" t="s">
        <v>178</v>
      </c>
      <c r="J22" s="99"/>
      <c r="K22" s="99"/>
      <c r="L22" s="99"/>
      <c r="M22" s="99"/>
      <c r="N22" s="99"/>
      <c r="O22" s="684"/>
      <c r="P22" s="684"/>
      <c r="Q22" s="684"/>
      <c r="R22" s="684"/>
      <c r="S22" s="684"/>
      <c r="T22" s="99"/>
      <c r="U22" s="99"/>
      <c r="V22" s="99"/>
    </row>
    <row r="23" spans="1:22" x14ac:dyDescent="0.25">
      <c r="A23" s="678"/>
      <c r="B23" s="679"/>
      <c r="C23" s="187"/>
      <c r="D23" s="188"/>
      <c r="E23" s="188"/>
      <c r="F23" s="189" t="s">
        <v>172</v>
      </c>
      <c r="G23" s="184"/>
      <c r="J23" s="99"/>
      <c r="K23" s="99"/>
      <c r="L23" s="99"/>
      <c r="M23" s="99"/>
      <c r="N23" s="99"/>
      <c r="O23" s="99"/>
      <c r="P23" s="99"/>
      <c r="Q23" s="684"/>
      <c r="R23" s="684"/>
      <c r="S23" s="684"/>
      <c r="T23" s="99"/>
      <c r="U23" s="99"/>
      <c r="V23" s="99"/>
    </row>
    <row r="24" spans="1:22" x14ac:dyDescent="0.25">
      <c r="A24" s="190" t="s">
        <v>179</v>
      </c>
      <c r="B24" s="191" t="s">
        <v>180</v>
      </c>
      <c r="C24" s="187" t="s">
        <v>108</v>
      </c>
      <c r="D24" s="188"/>
      <c r="E24" s="188"/>
      <c r="F24" s="189" t="s">
        <v>166</v>
      </c>
      <c r="G24" s="184" t="s">
        <v>181</v>
      </c>
      <c r="J24" s="99"/>
      <c r="K24" s="99"/>
      <c r="L24" s="99"/>
      <c r="M24" s="99"/>
      <c r="N24" s="99"/>
      <c r="O24" s="99"/>
      <c r="P24" s="99"/>
      <c r="Q24" s="99"/>
      <c r="R24" s="99"/>
      <c r="S24" s="684"/>
      <c r="T24" s="684"/>
      <c r="U24" s="99"/>
      <c r="V24" s="99"/>
    </row>
    <row r="25" spans="1:22" x14ac:dyDescent="0.25">
      <c r="A25" s="190" t="s">
        <v>559</v>
      </c>
      <c r="B25" s="191">
        <v>15</v>
      </c>
      <c r="C25" s="175" t="s">
        <v>108</v>
      </c>
      <c r="D25" s="188"/>
      <c r="E25" s="188"/>
      <c r="F25" s="189" t="s">
        <v>560</v>
      </c>
      <c r="G25" s="184" t="s">
        <v>561</v>
      </c>
      <c r="J25" s="99"/>
      <c r="K25" s="99"/>
      <c r="L25" s="99"/>
      <c r="M25" s="99"/>
      <c r="N25" s="99"/>
      <c r="O25" s="99"/>
      <c r="P25" s="684"/>
      <c r="Q25" s="684"/>
      <c r="R25" s="99"/>
      <c r="S25" s="99"/>
      <c r="T25" s="99"/>
      <c r="U25" s="99"/>
      <c r="V25" s="99"/>
    </row>
    <row r="26" spans="1:22" x14ac:dyDescent="0.25">
      <c r="A26" s="193"/>
      <c r="B26" s="186"/>
      <c r="C26" s="187"/>
      <c r="D26" s="188"/>
      <c r="E26" s="188"/>
      <c r="F26" s="189"/>
      <c r="G26" s="184"/>
      <c r="J26" s="99"/>
      <c r="K26" s="99"/>
      <c r="L26" s="99"/>
      <c r="M26" s="99"/>
      <c r="N26" s="99"/>
      <c r="O26" s="99"/>
      <c r="P26" s="99"/>
      <c r="Q26" s="684"/>
      <c r="R26" s="684"/>
      <c r="S26" s="99"/>
      <c r="T26" s="99"/>
      <c r="U26" s="99"/>
      <c r="V26" s="99"/>
    </row>
    <row r="27" spans="1:22" x14ac:dyDescent="0.25">
      <c r="A27" s="194" t="s">
        <v>226</v>
      </c>
      <c r="B27" s="496" t="s">
        <v>562</v>
      </c>
      <c r="C27" s="187" t="s">
        <v>108</v>
      </c>
      <c r="D27" s="188"/>
      <c r="E27" s="188"/>
      <c r="F27" s="189"/>
      <c r="G27" s="184" t="s">
        <v>233</v>
      </c>
      <c r="J27" s="99"/>
      <c r="K27" s="99"/>
      <c r="L27" s="99"/>
      <c r="M27" s="99"/>
      <c r="N27" s="99"/>
      <c r="O27" s="99"/>
      <c r="P27" s="99"/>
      <c r="Q27" s="99"/>
      <c r="R27" s="99"/>
      <c r="S27" s="99"/>
      <c r="T27" s="217"/>
      <c r="U27" s="99"/>
      <c r="V27" s="99"/>
    </row>
    <row r="28" spans="1:22" x14ac:dyDescent="0.25">
      <c r="A28" s="194" t="s">
        <v>569</v>
      </c>
      <c r="B28" s="186"/>
      <c r="C28" s="187"/>
      <c r="D28" s="188"/>
      <c r="E28" s="188"/>
      <c r="F28" s="189"/>
      <c r="G28" s="184" t="s">
        <v>233</v>
      </c>
      <c r="J28" s="99"/>
      <c r="K28" s="99"/>
      <c r="L28" s="99"/>
      <c r="M28" s="99"/>
      <c r="N28" s="99"/>
      <c r="O28" s="99"/>
      <c r="P28" s="99"/>
      <c r="Q28" s="99"/>
      <c r="R28" s="684"/>
      <c r="S28" s="684"/>
      <c r="T28" s="684"/>
      <c r="U28" s="684"/>
      <c r="V28" s="99"/>
    </row>
    <row r="29" spans="1:22" x14ac:dyDescent="0.25">
      <c r="A29" s="194" t="s">
        <v>227</v>
      </c>
      <c r="B29" s="186"/>
      <c r="C29" s="187" t="s">
        <v>108</v>
      </c>
      <c r="D29" s="188"/>
      <c r="E29" s="188"/>
      <c r="F29" s="189"/>
      <c r="G29" s="184" t="s">
        <v>234</v>
      </c>
      <c r="J29" s="99"/>
      <c r="K29" s="99"/>
      <c r="L29" s="99"/>
      <c r="M29" s="99"/>
      <c r="N29" s="99"/>
      <c r="O29" s="99"/>
      <c r="P29" s="99"/>
      <c r="Q29" s="684"/>
      <c r="R29" s="684"/>
      <c r="S29" s="684"/>
      <c r="T29" s="99"/>
      <c r="U29" s="99"/>
      <c r="V29" s="99"/>
    </row>
    <row r="30" spans="1:22" s="495" customFormat="1" x14ac:dyDescent="0.25">
      <c r="A30" s="194" t="s">
        <v>572</v>
      </c>
      <c r="B30" s="191" t="s">
        <v>573</v>
      </c>
      <c r="C30" s="187" t="s">
        <v>108</v>
      </c>
      <c r="D30" s="188"/>
      <c r="E30" s="188"/>
      <c r="F30" s="189"/>
      <c r="G30" s="184"/>
      <c r="H30" s="495" t="s">
        <v>576</v>
      </c>
    </row>
    <row r="31" spans="1:22" s="495" customFormat="1" x14ac:dyDescent="0.25">
      <c r="A31" s="194" t="s">
        <v>574</v>
      </c>
      <c r="B31" s="191" t="s">
        <v>562</v>
      </c>
      <c r="C31" s="187" t="s">
        <v>108</v>
      </c>
      <c r="D31" s="188"/>
      <c r="E31" s="188"/>
      <c r="F31" s="189"/>
      <c r="G31" s="184"/>
      <c r="H31" s="495" t="s">
        <v>576</v>
      </c>
    </row>
    <row r="32" spans="1:22" s="495" customFormat="1" x14ac:dyDescent="0.25">
      <c r="A32" s="194" t="s">
        <v>575</v>
      </c>
      <c r="B32" s="191" t="s">
        <v>565</v>
      </c>
      <c r="C32" s="187" t="s">
        <v>108</v>
      </c>
      <c r="D32" s="188"/>
      <c r="E32" s="188"/>
      <c r="F32" s="189"/>
      <c r="G32" s="184"/>
      <c r="H32" s="495" t="s">
        <v>576</v>
      </c>
      <c r="L32"/>
      <c r="M32"/>
      <c r="N32"/>
      <c r="O32"/>
      <c r="P32"/>
      <c r="Q32"/>
      <c r="R32"/>
      <c r="S32"/>
      <c r="T32"/>
      <c r="U32"/>
    </row>
    <row r="33" spans="1:22" s="495" customFormat="1" x14ac:dyDescent="0.25">
      <c r="A33" s="194" t="s">
        <v>579</v>
      </c>
      <c r="B33" s="191" t="s">
        <v>565</v>
      </c>
      <c r="C33" s="187" t="s">
        <v>108</v>
      </c>
      <c r="D33" s="188"/>
      <c r="E33" s="188"/>
      <c r="F33" s="189"/>
      <c r="G33" s="184"/>
      <c r="H33" s="495" t="s">
        <v>576</v>
      </c>
      <c r="L33"/>
      <c r="M33"/>
      <c r="N33"/>
      <c r="O33"/>
      <c r="P33"/>
      <c r="Q33"/>
      <c r="R33"/>
      <c r="S33"/>
      <c r="T33"/>
      <c r="U33"/>
    </row>
    <row r="34" spans="1:22" s="495" customFormat="1" x14ac:dyDescent="0.25">
      <c r="A34" s="194" t="s">
        <v>228</v>
      </c>
      <c r="B34" s="191" t="s">
        <v>566</v>
      </c>
      <c r="C34" s="187" t="s">
        <v>108</v>
      </c>
      <c r="D34" s="188"/>
      <c r="E34" s="188"/>
      <c r="F34" s="189"/>
      <c r="G34" s="184" t="s">
        <v>240</v>
      </c>
      <c r="L34"/>
      <c r="M34"/>
      <c r="N34"/>
      <c r="O34"/>
      <c r="P34"/>
      <c r="Q34"/>
      <c r="R34"/>
      <c r="S34"/>
      <c r="T34"/>
      <c r="U34"/>
      <c r="V34"/>
    </row>
    <row r="35" spans="1:22" s="495" customFormat="1" x14ac:dyDescent="0.25">
      <c r="A35" s="194"/>
      <c r="B35" s="191"/>
      <c r="C35" s="187"/>
      <c r="D35" s="188"/>
      <c r="E35" s="188"/>
      <c r="F35" s="189"/>
      <c r="G35" s="184"/>
      <c r="L35"/>
      <c r="M35"/>
      <c r="N35"/>
      <c r="O35"/>
      <c r="P35"/>
      <c r="Q35"/>
      <c r="R35"/>
      <c r="S35"/>
      <c r="T35"/>
      <c r="U35"/>
      <c r="V35"/>
    </row>
    <row r="36" spans="1:22" x14ac:dyDescent="0.25">
      <c r="A36" s="195" t="s">
        <v>229</v>
      </c>
      <c r="B36" s="191" t="s">
        <v>567</v>
      </c>
      <c r="C36" s="187" t="s">
        <v>108</v>
      </c>
      <c r="D36" s="188"/>
      <c r="E36" s="188"/>
      <c r="F36" s="189"/>
      <c r="G36" s="184" t="s">
        <v>240</v>
      </c>
    </row>
    <row r="37" spans="1:22" x14ac:dyDescent="0.25">
      <c r="A37" s="195" t="s">
        <v>230</v>
      </c>
      <c r="B37" s="191" t="s">
        <v>563</v>
      </c>
      <c r="C37" s="187" t="s">
        <v>108</v>
      </c>
      <c r="D37" s="188"/>
      <c r="E37" s="188"/>
      <c r="F37" s="196"/>
      <c r="G37" s="184" t="s">
        <v>240</v>
      </c>
      <c r="L37" s="495"/>
      <c r="M37" s="495"/>
      <c r="N37" s="495"/>
      <c r="O37" s="495"/>
      <c r="P37" s="495"/>
      <c r="Q37" s="495"/>
      <c r="R37" s="495"/>
      <c r="S37" s="495"/>
      <c r="T37" s="495"/>
      <c r="U37" s="495"/>
    </row>
    <row r="38" spans="1:22" x14ac:dyDescent="0.25">
      <c r="A38" s="195" t="s">
        <v>568</v>
      </c>
      <c r="B38" s="186"/>
      <c r="C38" s="187"/>
      <c r="D38" s="188"/>
      <c r="E38" s="188"/>
      <c r="F38" s="196"/>
      <c r="G38" s="184" t="s">
        <v>240</v>
      </c>
      <c r="L38" s="495"/>
      <c r="M38" s="495"/>
      <c r="N38" s="495"/>
      <c r="O38" s="495"/>
      <c r="P38" s="495"/>
      <c r="Q38" s="495"/>
      <c r="R38" s="495"/>
      <c r="S38" s="495"/>
      <c r="T38" s="495"/>
      <c r="U38" s="495"/>
    </row>
    <row r="39" spans="1:22" x14ac:dyDescent="0.25">
      <c r="A39" s="195" t="s">
        <v>231</v>
      </c>
      <c r="B39" s="191" t="s">
        <v>564</v>
      </c>
      <c r="C39" s="187" t="s">
        <v>108</v>
      </c>
      <c r="D39" s="188"/>
      <c r="E39" s="188"/>
      <c r="F39" s="196"/>
      <c r="G39" s="184" t="s">
        <v>240</v>
      </c>
      <c r="V39" s="495"/>
    </row>
    <row r="40" spans="1:22" x14ac:dyDescent="0.25">
      <c r="A40" s="195" t="s">
        <v>232</v>
      </c>
      <c r="B40" s="191" t="s">
        <v>565</v>
      </c>
      <c r="C40" s="187" t="s">
        <v>108</v>
      </c>
      <c r="D40" s="188"/>
      <c r="E40" s="188"/>
      <c r="F40" s="196"/>
      <c r="G40" s="197" t="s">
        <v>241</v>
      </c>
      <c r="V40" s="495"/>
    </row>
    <row r="41" spans="1:22" s="495" customFormat="1" x14ac:dyDescent="0.25">
      <c r="A41" s="195" t="s">
        <v>571</v>
      </c>
      <c r="B41" s="191" t="s">
        <v>570</v>
      </c>
      <c r="C41" s="187" t="s">
        <v>108</v>
      </c>
      <c r="D41" s="188"/>
      <c r="E41" s="188"/>
      <c r="F41" s="196"/>
      <c r="G41" s="197"/>
      <c r="H41" s="495" t="s">
        <v>576</v>
      </c>
      <c r="K41"/>
      <c r="L41"/>
      <c r="M41"/>
      <c r="N41"/>
      <c r="O41"/>
      <c r="P41"/>
      <c r="Q41"/>
      <c r="R41"/>
      <c r="S41"/>
      <c r="T41"/>
      <c r="U41"/>
      <c r="V41"/>
    </row>
    <row r="42" spans="1:22" s="495" customFormat="1" x14ac:dyDescent="0.25">
      <c r="A42" s="195" t="s">
        <v>578</v>
      </c>
      <c r="B42" s="191"/>
      <c r="C42" s="187"/>
      <c r="D42" s="188"/>
      <c r="E42" s="188"/>
      <c r="F42" s="196"/>
      <c r="G42" s="197"/>
      <c r="H42" s="495" t="s">
        <v>576</v>
      </c>
      <c r="K42"/>
      <c r="L42"/>
      <c r="M42"/>
      <c r="N42"/>
      <c r="O42"/>
      <c r="P42"/>
      <c r="Q42"/>
      <c r="R42"/>
      <c r="S42"/>
      <c r="T42"/>
      <c r="U42"/>
      <c r="V42"/>
    </row>
    <row r="43" spans="1:22" s="495" customFormat="1" x14ac:dyDescent="0.25">
      <c r="A43" s="195"/>
      <c r="B43" s="497"/>
      <c r="C43" s="498"/>
      <c r="D43" s="499"/>
      <c r="E43" s="499"/>
      <c r="F43" s="500"/>
      <c r="G43" s="501"/>
    </row>
    <row r="44" spans="1:22" s="495" customFormat="1" x14ac:dyDescent="0.25">
      <c r="A44" s="195"/>
      <c r="B44" s="497"/>
      <c r="C44" s="498"/>
      <c r="D44" s="499"/>
      <c r="E44" s="499"/>
      <c r="F44" s="500"/>
      <c r="G44" s="501"/>
    </row>
    <row r="45" spans="1:22" s="495" customFormat="1" x14ac:dyDescent="0.25">
      <c r="A45" s="195"/>
      <c r="B45" s="497"/>
      <c r="C45" s="498"/>
      <c r="D45" s="499"/>
      <c r="E45" s="499"/>
      <c r="F45" s="500"/>
      <c r="G45" s="501"/>
    </row>
    <row r="46" spans="1:22" s="495" customFormat="1" x14ac:dyDescent="0.25">
      <c r="A46" s="195"/>
      <c r="B46" s="497"/>
      <c r="C46" s="498"/>
      <c r="D46" s="499"/>
      <c r="E46" s="499"/>
      <c r="F46" s="500"/>
      <c r="G46" s="501"/>
    </row>
    <row r="47" spans="1:22" s="495" customFormat="1" x14ac:dyDescent="0.25">
      <c r="A47" s="503"/>
      <c r="B47" s="497"/>
      <c r="C47" s="498"/>
      <c r="D47" s="499"/>
      <c r="E47" s="499"/>
      <c r="F47" s="500"/>
      <c r="G47" s="501"/>
    </row>
    <row r="48" spans="1:22" ht="15.75" thickBot="1" x14ac:dyDescent="0.3">
      <c r="A48" s="504"/>
      <c r="B48" s="198"/>
      <c r="C48" s="199"/>
      <c r="D48" s="200"/>
      <c r="E48" s="200"/>
      <c r="F48" s="201"/>
      <c r="G48" s="202"/>
    </row>
    <row r="49" ht="15.75" thickTop="1" x14ac:dyDescent="0.25"/>
  </sheetData>
  <sheetProtection password="CC70" sheet="1" objects="1" scenarios="1"/>
  <mergeCells count="31">
    <mergeCell ref="Q19:S19"/>
    <mergeCell ref="Q20:R20"/>
    <mergeCell ref="R21:U21"/>
    <mergeCell ref="O22:S22"/>
    <mergeCell ref="Q29:S29"/>
    <mergeCell ref="Q23:S23"/>
    <mergeCell ref="S24:T24"/>
    <mergeCell ref="P25:Q25"/>
    <mergeCell ref="Q26:R26"/>
    <mergeCell ref="R28:U28"/>
    <mergeCell ref="S5:T5"/>
    <mergeCell ref="S7:T7"/>
    <mergeCell ref="Q8:S8"/>
    <mergeCell ref="P9:Q9"/>
    <mergeCell ref="A19:A20"/>
    <mergeCell ref="Q10:T10"/>
    <mergeCell ref="P6:Q6"/>
    <mergeCell ref="P11:R11"/>
    <mergeCell ref="P12:R12"/>
    <mergeCell ref="S12:T12"/>
    <mergeCell ref="O13:P13"/>
    <mergeCell ref="Q14:S14"/>
    <mergeCell ref="P15:Q15"/>
    <mergeCell ref="Q16:T16"/>
    <mergeCell ref="S17:T17"/>
    <mergeCell ref="Q18:R18"/>
    <mergeCell ref="A22:A23"/>
    <mergeCell ref="B22:B23"/>
    <mergeCell ref="A1:H1"/>
    <mergeCell ref="D2:E3"/>
    <mergeCell ref="H2:H3"/>
  </mergeCells>
  <pageMargins left="0.19685039370078741" right="0.15748031496062992" top="0.15748031496062992" bottom="0.19685039370078741" header="0" footer="0"/>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zoomScale="130" zoomScaleNormal="130" workbookViewId="0">
      <pane xSplit="21" ySplit="25" topLeftCell="V26" activePane="bottomRight" state="frozenSplit"/>
      <selection pane="topRight" activeCell="T1" sqref="T1"/>
      <selection pane="bottomLeft" activeCell="A23" sqref="A23"/>
      <selection pane="bottomRight" activeCell="L10" sqref="L10"/>
    </sheetView>
  </sheetViews>
  <sheetFormatPr baseColWidth="10" defaultRowHeight="15" x14ac:dyDescent="0.25"/>
  <cols>
    <col min="1" max="1" width="3.5703125" customWidth="1"/>
    <col min="3" max="3" width="4.42578125" customWidth="1"/>
    <col min="4" max="4" width="1.85546875" customWidth="1"/>
    <col min="5" max="5" width="8.7109375" customWidth="1"/>
    <col min="6" max="6" width="3.7109375" customWidth="1"/>
    <col min="7" max="7" width="2.5703125" customWidth="1"/>
    <col min="8" max="8" width="3.140625" customWidth="1"/>
    <col min="9" max="9" width="6.28515625" customWidth="1"/>
    <col min="10" max="10" width="6.42578125" customWidth="1"/>
    <col min="11" max="11" width="6.28515625" customWidth="1"/>
    <col min="12" max="12" width="18" customWidth="1"/>
    <col min="13" max="13" width="19.140625" hidden="1" customWidth="1"/>
    <col min="14" max="14" width="9.85546875" customWidth="1"/>
    <col min="15" max="15" width="6" customWidth="1"/>
    <col min="16" max="16" width="7.42578125" customWidth="1"/>
    <col min="17" max="17" width="9.140625" customWidth="1"/>
    <col min="18" max="18" width="7.140625" customWidth="1"/>
    <col min="19" max="19" width="3.140625" customWidth="1"/>
    <col min="20" max="20" width="3" customWidth="1"/>
    <col min="21" max="21" width="49" customWidth="1"/>
  </cols>
  <sheetData>
    <row r="1" spans="1:21" ht="15.75" thickBot="1" x14ac:dyDescent="0.3">
      <c r="A1" s="23"/>
      <c r="B1" s="23"/>
      <c r="C1" s="23"/>
      <c r="D1" s="23"/>
      <c r="E1" s="23"/>
      <c r="F1" s="23"/>
      <c r="G1" s="23"/>
      <c r="H1" s="23"/>
      <c r="I1" s="23"/>
      <c r="J1" s="23"/>
      <c r="K1" s="23"/>
      <c r="L1" s="23"/>
      <c r="M1" s="23"/>
      <c r="N1" s="23"/>
      <c r="O1" s="23"/>
      <c r="P1" s="23"/>
      <c r="Q1" s="23"/>
      <c r="R1" s="23"/>
      <c r="S1" s="23"/>
      <c r="T1" s="23"/>
      <c r="U1" s="23"/>
    </row>
    <row r="2" spans="1:21" ht="15.75" thickBot="1" x14ac:dyDescent="0.3">
      <c r="A2" s="23"/>
      <c r="B2" s="691" t="s">
        <v>75</v>
      </c>
      <c r="C2" s="692"/>
      <c r="D2" s="692"/>
      <c r="E2" s="693"/>
      <c r="F2" s="23"/>
      <c r="G2" s="23"/>
      <c r="H2" s="23"/>
      <c r="I2" s="704" t="s">
        <v>361</v>
      </c>
      <c r="J2" s="704"/>
      <c r="K2" s="704"/>
      <c r="L2" s="23"/>
      <c r="M2" s="23"/>
      <c r="N2" s="691" t="s">
        <v>76</v>
      </c>
      <c r="O2" s="692"/>
      <c r="P2" s="693"/>
      <c r="Q2" s="23"/>
      <c r="R2" s="23"/>
      <c r="S2" s="23"/>
      <c r="T2" s="23"/>
      <c r="U2" s="23"/>
    </row>
    <row r="3" spans="1:21" ht="15.75" thickBot="1" x14ac:dyDescent="0.3">
      <c r="A3" s="23"/>
      <c r="B3" s="12" t="s">
        <v>14</v>
      </c>
      <c r="C3" s="381">
        <v>6.5</v>
      </c>
      <c r="D3" s="23"/>
      <c r="E3" s="23"/>
      <c r="F3" s="23"/>
      <c r="G3" s="23"/>
      <c r="H3" s="23"/>
      <c r="I3" s="704"/>
      <c r="J3" s="704"/>
      <c r="K3" s="704"/>
      <c r="L3" s="23"/>
      <c r="M3" s="23"/>
      <c r="N3" s="12" t="s">
        <v>14</v>
      </c>
      <c r="O3" s="382"/>
      <c r="P3" s="23"/>
      <c r="Q3" s="23"/>
      <c r="R3" s="23"/>
      <c r="S3" s="23"/>
      <c r="T3" s="23"/>
      <c r="U3" s="23"/>
    </row>
    <row r="4" spans="1:21" ht="15.75" thickBot="1" x14ac:dyDescent="0.3">
      <c r="A4" s="23"/>
      <c r="B4" s="11" t="s">
        <v>13</v>
      </c>
      <c r="C4" s="382">
        <v>7.5</v>
      </c>
      <c r="D4" s="23"/>
      <c r="E4" s="23"/>
      <c r="F4" s="23"/>
      <c r="G4" s="23"/>
      <c r="H4" s="23"/>
      <c r="I4" s="23"/>
      <c r="J4" s="23"/>
      <c r="K4" s="23"/>
      <c r="L4" s="23"/>
      <c r="M4" s="23"/>
      <c r="N4" s="11" t="s">
        <v>13</v>
      </c>
      <c r="O4" s="382"/>
      <c r="P4" s="23"/>
      <c r="Q4" s="23"/>
      <c r="R4" s="23"/>
      <c r="S4" s="23"/>
      <c r="T4" s="23"/>
      <c r="U4" s="23"/>
    </row>
    <row r="5" spans="1:21" ht="15.75" thickBot="1" x14ac:dyDescent="0.3">
      <c r="A5" s="23"/>
      <c r="B5" s="13" t="s">
        <v>15</v>
      </c>
      <c r="C5" s="14">
        <f>C4-C3</f>
        <v>1</v>
      </c>
      <c r="D5" s="23"/>
      <c r="E5" s="23"/>
      <c r="F5" s="23"/>
      <c r="G5" s="23"/>
      <c r="H5" s="23"/>
      <c r="I5" s="23"/>
      <c r="J5" s="23"/>
      <c r="K5" s="23"/>
      <c r="L5" s="23"/>
      <c r="M5" s="23"/>
      <c r="N5" s="13" t="s">
        <v>15</v>
      </c>
      <c r="O5" s="14">
        <f>O3-O4</f>
        <v>0</v>
      </c>
      <c r="P5" s="23"/>
      <c r="Q5" s="23"/>
      <c r="R5" s="23"/>
      <c r="S5" s="23"/>
      <c r="T5" s="23"/>
      <c r="U5" s="23"/>
    </row>
    <row r="6" spans="1:21" ht="15.75" thickBot="1" x14ac:dyDescent="0.3">
      <c r="A6" s="23"/>
      <c r="B6" s="23"/>
      <c r="C6" s="23"/>
      <c r="D6" s="23"/>
      <c r="E6" s="23"/>
      <c r="F6" s="23"/>
      <c r="G6" s="23"/>
      <c r="H6" s="23"/>
      <c r="I6" s="23"/>
      <c r="J6" s="18"/>
      <c r="K6" s="19" t="s">
        <v>69</v>
      </c>
      <c r="L6" s="23"/>
      <c r="M6" s="23"/>
      <c r="N6" s="23"/>
      <c r="O6" s="23"/>
      <c r="P6" s="23"/>
      <c r="Q6" s="23"/>
      <c r="R6" s="23"/>
      <c r="S6" s="23"/>
      <c r="T6" s="23"/>
      <c r="U6" s="23"/>
    </row>
    <row r="7" spans="1:21" ht="15.75" customHeight="1" thickBot="1" x14ac:dyDescent="0.3">
      <c r="A7" s="23"/>
      <c r="B7" s="23"/>
      <c r="C7" s="23"/>
      <c r="D7" s="23" t="s">
        <v>6</v>
      </c>
      <c r="E7" s="23"/>
      <c r="F7" s="23"/>
      <c r="G7" s="23"/>
      <c r="H7" s="23"/>
      <c r="I7" s="23"/>
      <c r="J7" s="694">
        <v>20</v>
      </c>
      <c r="K7" s="695"/>
      <c r="L7" s="23"/>
      <c r="M7" s="23"/>
      <c r="N7" s="23"/>
      <c r="O7" s="23"/>
      <c r="P7" s="23"/>
      <c r="Q7" s="23"/>
      <c r="R7" s="23"/>
      <c r="S7" s="23"/>
      <c r="T7" s="23"/>
      <c r="U7" s="23"/>
    </row>
    <row r="8" spans="1:21" ht="15.75" customHeight="1" thickBot="1" x14ac:dyDescent="0.3">
      <c r="A8" s="23"/>
      <c r="B8" s="15"/>
      <c r="C8" s="16" t="s">
        <v>70</v>
      </c>
      <c r="D8" s="23"/>
      <c r="E8" s="17">
        <f>C5*1</f>
        <v>1</v>
      </c>
      <c r="F8" s="23" t="s">
        <v>7</v>
      </c>
      <c r="G8" s="241" t="s">
        <v>16</v>
      </c>
      <c r="H8" s="23"/>
      <c r="I8" s="23"/>
      <c r="J8" s="696"/>
      <c r="K8" s="697"/>
      <c r="L8" s="23"/>
      <c r="M8" s="23"/>
      <c r="N8" s="23"/>
      <c r="O8" s="23" t="s">
        <v>71</v>
      </c>
      <c r="P8" s="50">
        <v>1</v>
      </c>
      <c r="Q8" s="51" t="s">
        <v>7</v>
      </c>
      <c r="R8" s="23"/>
      <c r="S8" s="23"/>
      <c r="T8" s="23"/>
      <c r="U8" s="23"/>
    </row>
    <row r="9" spans="1:21" s="236" customFormat="1" ht="7.5" customHeight="1" thickBot="1" x14ac:dyDescent="0.3">
      <c r="A9" s="23"/>
      <c r="B9" s="23"/>
      <c r="C9" s="23"/>
      <c r="D9" s="23"/>
      <c r="E9" s="23"/>
      <c r="F9" s="23"/>
      <c r="G9" s="23"/>
      <c r="H9" s="23"/>
      <c r="I9" s="23"/>
      <c r="J9" s="23"/>
      <c r="K9" s="23"/>
      <c r="L9" s="23"/>
      <c r="M9" s="23"/>
      <c r="N9" s="23"/>
      <c r="O9" s="23"/>
      <c r="P9" s="23"/>
      <c r="Q9" s="23"/>
      <c r="R9" s="23"/>
      <c r="S9" s="23"/>
      <c r="T9" s="23"/>
      <c r="U9" s="23"/>
    </row>
    <row r="10" spans="1:21" ht="15.75" thickBot="1" x14ac:dyDescent="0.3">
      <c r="A10" s="23"/>
      <c r="B10" s="15"/>
      <c r="C10" s="16" t="s">
        <v>8</v>
      </c>
      <c r="D10" s="23"/>
      <c r="E10" s="53">
        <f>C5/0.893</f>
        <v>1.1198208286674132</v>
      </c>
      <c r="F10" s="23" t="s">
        <v>7</v>
      </c>
      <c r="G10" s="23" t="s">
        <v>261</v>
      </c>
      <c r="H10" s="23"/>
      <c r="I10" s="23"/>
      <c r="J10" s="23"/>
      <c r="K10" s="23"/>
      <c r="L10" s="23"/>
      <c r="M10" s="23"/>
      <c r="N10" s="23"/>
      <c r="O10" s="23"/>
      <c r="P10" s="23"/>
      <c r="Q10" s="23"/>
      <c r="R10" s="23"/>
      <c r="S10" s="23"/>
      <c r="T10" s="23"/>
      <c r="U10" s="23"/>
    </row>
    <row r="11" spans="1:21" ht="15.75" thickBot="1" x14ac:dyDescent="0.3">
      <c r="A11" s="23"/>
      <c r="B11" s="15"/>
      <c r="C11" s="16" t="s">
        <v>260</v>
      </c>
      <c r="D11" s="23"/>
      <c r="E11" s="53">
        <f>C5/0.853</f>
        <v>1.1723329425556859</v>
      </c>
      <c r="F11" s="23" t="s">
        <v>7</v>
      </c>
      <c r="G11" s="23" t="s">
        <v>261</v>
      </c>
      <c r="H11" s="23"/>
      <c r="I11" s="23"/>
      <c r="J11" s="23"/>
      <c r="K11" s="23"/>
      <c r="L11" s="23"/>
      <c r="M11" s="49"/>
      <c r="N11" s="698" t="s">
        <v>72</v>
      </c>
      <c r="O11" s="699"/>
      <c r="P11" s="700"/>
      <c r="Q11" s="52">
        <f>P8*O5 /1.5</f>
        <v>0</v>
      </c>
      <c r="R11" s="23" t="s">
        <v>74</v>
      </c>
      <c r="S11" s="23"/>
      <c r="T11" s="23"/>
      <c r="U11" s="23"/>
    </row>
    <row r="12" spans="1:21" s="236" customFormat="1" ht="15.75" thickBot="1" x14ac:dyDescent="0.3">
      <c r="A12" s="23"/>
      <c r="B12" s="15"/>
      <c r="C12" s="16" t="s">
        <v>262</v>
      </c>
      <c r="D12" s="23"/>
      <c r="E12" s="53">
        <f>C5*1.25</f>
        <v>1.25</v>
      </c>
      <c r="F12" s="23" t="s">
        <v>7</v>
      </c>
      <c r="G12" s="23" t="s">
        <v>261</v>
      </c>
      <c r="H12" s="23"/>
      <c r="I12" s="23"/>
      <c r="J12" s="23"/>
      <c r="K12" s="23"/>
      <c r="L12" s="23"/>
      <c r="M12" s="23"/>
      <c r="N12" s="23"/>
      <c r="O12" s="23"/>
      <c r="P12" s="23"/>
      <c r="Q12" s="23"/>
      <c r="R12" s="23"/>
      <c r="S12" s="23"/>
      <c r="T12" s="23"/>
      <c r="U12" s="23"/>
    </row>
    <row r="13" spans="1:21" s="236" customFormat="1" ht="15.75" thickBot="1" x14ac:dyDescent="0.3">
      <c r="A13" s="23"/>
      <c r="B13" s="15"/>
      <c r="C13" s="16" t="s">
        <v>263</v>
      </c>
      <c r="D13" s="23"/>
      <c r="E13" s="53">
        <f>C5*1.56</f>
        <v>1.56</v>
      </c>
      <c r="F13" s="23" t="s">
        <v>7</v>
      </c>
      <c r="G13" s="23"/>
      <c r="H13" s="23"/>
      <c r="I13" s="23"/>
      <c r="J13" s="23"/>
      <c r="K13" s="23"/>
      <c r="L13" s="23"/>
      <c r="M13" s="23"/>
      <c r="N13" s="23"/>
      <c r="O13" s="23"/>
      <c r="P13" s="23"/>
      <c r="Q13" s="23"/>
      <c r="R13" s="23"/>
      <c r="S13" s="23"/>
      <c r="T13" s="23"/>
      <c r="U13" s="23"/>
    </row>
    <row r="14" spans="1:21" s="446" customFormat="1" ht="15.75" thickBot="1" x14ac:dyDescent="0.3">
      <c r="A14" s="23"/>
      <c r="B14" s="15"/>
      <c r="C14" s="445" t="s">
        <v>263</v>
      </c>
      <c r="D14" s="23"/>
      <c r="E14" s="53">
        <f>C5*1.56</f>
        <v>1.56</v>
      </c>
      <c r="F14" s="447" t="s">
        <v>382</v>
      </c>
      <c r="G14" s="23"/>
      <c r="H14" s="23"/>
      <c r="I14" s="23"/>
      <c r="J14" s="23"/>
      <c r="K14" s="23"/>
      <c r="L14" s="23"/>
      <c r="M14" s="23"/>
      <c r="N14" s="23"/>
      <c r="O14" s="23"/>
      <c r="P14" s="23"/>
      <c r="Q14" s="23"/>
      <c r="R14" s="23"/>
      <c r="S14" s="23"/>
      <c r="T14" s="23"/>
      <c r="U14" s="23"/>
    </row>
    <row r="15" spans="1:21" ht="9.75" customHeight="1" x14ac:dyDescent="0.25">
      <c r="A15" s="23"/>
      <c r="B15" s="23"/>
      <c r="C15" s="23"/>
      <c r="D15" s="23"/>
      <c r="E15" s="23"/>
      <c r="F15" s="23"/>
      <c r="G15" s="23"/>
      <c r="H15" s="23"/>
      <c r="I15" s="23"/>
      <c r="J15" s="23"/>
      <c r="K15" s="23"/>
      <c r="L15" s="23"/>
      <c r="M15" s="23"/>
      <c r="N15" s="23"/>
      <c r="O15" s="23"/>
      <c r="P15" s="23"/>
      <c r="Q15" s="23"/>
      <c r="R15" s="23"/>
      <c r="S15" s="23"/>
      <c r="T15" s="23"/>
      <c r="U15" s="23"/>
    </row>
    <row r="16" spans="1:21" ht="20.25" customHeight="1" thickBot="1" x14ac:dyDescent="0.3">
      <c r="A16" s="23"/>
      <c r="B16" s="23" t="s">
        <v>381</v>
      </c>
      <c r="C16" s="23"/>
      <c r="D16" s="23"/>
      <c r="E16" s="23"/>
      <c r="F16" s="23"/>
      <c r="G16" s="23"/>
      <c r="H16" s="23"/>
      <c r="I16" s="23"/>
      <c r="J16" s="23"/>
      <c r="K16" s="23"/>
      <c r="L16" s="23"/>
      <c r="M16" s="23"/>
      <c r="N16" s="23"/>
      <c r="O16" s="23"/>
      <c r="P16" s="23"/>
      <c r="Q16" s="23"/>
      <c r="R16" s="23"/>
      <c r="S16" s="23"/>
      <c r="T16" s="23"/>
      <c r="U16" s="23"/>
    </row>
    <row r="17" spans="1:21" ht="15.75" thickBot="1" x14ac:dyDescent="0.3">
      <c r="A17" s="23"/>
      <c r="B17" s="383" t="s">
        <v>12</v>
      </c>
      <c r="C17" s="23"/>
      <c r="D17" s="23"/>
      <c r="E17" s="23"/>
      <c r="F17" s="23"/>
      <c r="G17" s="23"/>
      <c r="H17" s="23"/>
      <c r="I17" s="384"/>
      <c r="J17" s="385" t="s">
        <v>67</v>
      </c>
      <c r="K17" s="386"/>
      <c r="L17" s="23"/>
      <c r="M17" s="23"/>
      <c r="N17" s="383" t="s">
        <v>12</v>
      </c>
      <c r="O17" s="23"/>
      <c r="P17" s="23"/>
      <c r="Q17" s="23"/>
      <c r="R17" s="23"/>
      <c r="S17" s="23"/>
      <c r="T17" s="23"/>
      <c r="U17" s="23"/>
    </row>
    <row r="18" spans="1:21" ht="18" customHeight="1" thickBot="1" x14ac:dyDescent="0.3">
      <c r="A18" s="23"/>
      <c r="B18" s="15"/>
      <c r="C18" s="20"/>
      <c r="D18" s="16" t="s">
        <v>9</v>
      </c>
      <c r="E18" s="22">
        <f>E8*J7</f>
        <v>20</v>
      </c>
      <c r="F18" s="23" t="s">
        <v>10</v>
      </c>
      <c r="G18" s="607" t="s">
        <v>715</v>
      </c>
      <c r="H18" s="23"/>
      <c r="I18" s="23"/>
      <c r="J18" s="14">
        <f>E18/2</f>
        <v>10</v>
      </c>
      <c r="K18" s="607" t="s">
        <v>715</v>
      </c>
      <c r="L18" s="23"/>
      <c r="M18" s="23"/>
      <c r="N18" s="701" t="s">
        <v>73</v>
      </c>
      <c r="O18" s="702"/>
      <c r="P18" s="703"/>
      <c r="Q18" s="71">
        <f>Q11*J7</f>
        <v>0</v>
      </c>
      <c r="R18" s="23" t="s">
        <v>77</v>
      </c>
      <c r="S18" s="54">
        <f>J7</f>
        <v>20</v>
      </c>
      <c r="T18" s="23" t="s">
        <v>4</v>
      </c>
      <c r="U18" s="23"/>
    </row>
    <row r="19" spans="1:21" ht="9" customHeight="1" thickBot="1" x14ac:dyDescent="0.3">
      <c r="A19" s="23"/>
      <c r="B19" s="23"/>
      <c r="C19" s="23"/>
      <c r="D19" s="23"/>
      <c r="E19" s="23"/>
      <c r="F19" s="23"/>
      <c r="G19" s="23"/>
      <c r="H19" s="23"/>
      <c r="I19" s="23"/>
      <c r="J19" s="23"/>
      <c r="K19" s="23"/>
      <c r="L19" s="23"/>
      <c r="M19" s="23"/>
      <c r="N19" s="23"/>
      <c r="O19" s="23"/>
      <c r="P19" s="23"/>
      <c r="Q19" s="23"/>
      <c r="R19" s="23"/>
      <c r="S19" s="23"/>
      <c r="T19" s="23"/>
      <c r="U19" s="23"/>
    </row>
    <row r="20" spans="1:21" ht="15.75" thickBot="1" x14ac:dyDescent="0.3">
      <c r="A20" s="23"/>
      <c r="B20" s="15"/>
      <c r="C20" s="21"/>
      <c r="D20" s="16" t="s">
        <v>11</v>
      </c>
      <c r="E20" s="240">
        <f>(E10*J7)/100*89.5</f>
        <v>20.044792833146694</v>
      </c>
      <c r="F20" s="23" t="s">
        <v>10</v>
      </c>
      <c r="G20" s="23" t="s">
        <v>261</v>
      </c>
      <c r="H20" s="23"/>
      <c r="I20" s="23"/>
      <c r="J20" s="53">
        <f>E20/2</f>
        <v>10.022396416573347</v>
      </c>
      <c r="K20" s="23"/>
      <c r="L20" s="23"/>
      <c r="M20" s="23"/>
      <c r="N20" s="23"/>
      <c r="O20" s="23"/>
      <c r="P20" s="23"/>
      <c r="Q20" s="23"/>
      <c r="R20" s="23"/>
      <c r="S20" s="23"/>
      <c r="T20" s="23"/>
      <c r="U20" s="23"/>
    </row>
    <row r="21" spans="1:21" ht="15.75" thickBot="1" x14ac:dyDescent="0.3">
      <c r="A21" s="23"/>
      <c r="B21" s="688" t="s">
        <v>260</v>
      </c>
      <c r="C21" s="689"/>
      <c r="D21" s="690"/>
      <c r="E21" s="240">
        <f>(E11*J7)/100*85.3</f>
        <v>20</v>
      </c>
      <c r="F21" s="23" t="s">
        <v>10</v>
      </c>
      <c r="G21" s="23" t="s">
        <v>261</v>
      </c>
      <c r="H21" s="23"/>
      <c r="I21" s="23"/>
      <c r="J21" s="53">
        <f t="shared" ref="J21:J23" si="0">E21/2</f>
        <v>10</v>
      </c>
      <c r="K21" s="23"/>
      <c r="L21" s="23"/>
      <c r="M21" s="23"/>
      <c r="N21" s="23"/>
      <c r="O21" s="23"/>
      <c r="P21" s="23"/>
      <c r="Q21" s="468"/>
      <c r="R21" s="23"/>
      <c r="S21" s="23"/>
      <c r="T21" s="23"/>
      <c r="U21" s="23"/>
    </row>
    <row r="22" spans="1:21" ht="15.75" customHeight="1" thickBot="1" x14ac:dyDescent="0.3">
      <c r="A22" s="23"/>
      <c r="B22" s="688" t="s">
        <v>262</v>
      </c>
      <c r="C22" s="689"/>
      <c r="D22" s="690"/>
      <c r="E22" s="240">
        <f>(E12*J7)/100*125</f>
        <v>31.25</v>
      </c>
      <c r="F22" s="23" t="s">
        <v>10</v>
      </c>
      <c r="G22" s="23" t="s">
        <v>261</v>
      </c>
      <c r="H22" s="23"/>
      <c r="I22" s="23"/>
      <c r="J22" s="53">
        <f t="shared" si="0"/>
        <v>15.625</v>
      </c>
      <c r="K22" s="23"/>
      <c r="L22" s="23"/>
      <c r="M22" s="23"/>
      <c r="N22" s="23"/>
      <c r="O22" s="23"/>
      <c r="P22" s="23"/>
      <c r="Q22" s="23"/>
      <c r="R22" s="23"/>
      <c r="S22" s="23"/>
      <c r="T22" s="23"/>
      <c r="U22" s="23"/>
    </row>
    <row r="23" spans="1:21" ht="15.75" thickBot="1" x14ac:dyDescent="0.3">
      <c r="A23" s="23"/>
      <c r="B23" s="688" t="s">
        <v>263</v>
      </c>
      <c r="C23" s="689"/>
      <c r="D23" s="690"/>
      <c r="E23" s="240">
        <f>(E13*J7)/100*156</f>
        <v>48.672000000000011</v>
      </c>
      <c r="F23" s="23" t="s">
        <v>10</v>
      </c>
      <c r="G23" s="23"/>
      <c r="H23" s="23"/>
      <c r="I23" s="23"/>
      <c r="J23" s="53">
        <f t="shared" si="0"/>
        <v>24.336000000000006</v>
      </c>
      <c r="K23" s="23"/>
      <c r="L23" s="23"/>
      <c r="M23" s="23"/>
      <c r="N23" s="23"/>
      <c r="O23" s="23"/>
      <c r="P23" s="23"/>
      <c r="Q23" s="23"/>
      <c r="R23" s="23"/>
      <c r="S23" s="23"/>
      <c r="T23" s="23"/>
      <c r="U23" s="23"/>
    </row>
    <row r="24" spans="1:21" s="446" customFormat="1" ht="15.75" thickBot="1" x14ac:dyDescent="0.3">
      <c r="A24" s="23"/>
      <c r="B24" s="685" t="s">
        <v>383</v>
      </c>
      <c r="C24" s="686"/>
      <c r="D24" s="687"/>
      <c r="E24" s="240">
        <f>(E14*J7)/100*100</f>
        <v>31.200000000000006</v>
      </c>
      <c r="F24" s="447" t="s">
        <v>35</v>
      </c>
      <c r="G24" s="23"/>
      <c r="H24" s="23"/>
      <c r="I24" s="23"/>
      <c r="J24" s="53">
        <f>E24/2</f>
        <v>15.600000000000003</v>
      </c>
      <c r="K24" s="447" t="s">
        <v>35</v>
      </c>
      <c r="L24" s="23"/>
      <c r="M24" s="23"/>
      <c r="N24" s="23"/>
      <c r="O24" s="23"/>
      <c r="P24" s="23"/>
      <c r="Q24" s="23"/>
      <c r="R24" s="23"/>
      <c r="S24" s="23"/>
      <c r="T24" s="23"/>
      <c r="U24" s="23"/>
    </row>
    <row r="25" spans="1:21" ht="12.75" customHeight="1" x14ac:dyDescent="0.25">
      <c r="A25" s="23"/>
      <c r="B25" s="23"/>
      <c r="C25" s="23"/>
      <c r="D25" s="23"/>
      <c r="E25" s="23"/>
      <c r="F25" s="23"/>
      <c r="G25" s="23"/>
      <c r="H25" s="23"/>
      <c r="I25" s="23"/>
      <c r="J25" s="23"/>
      <c r="K25" s="23"/>
      <c r="L25" s="23"/>
      <c r="M25" s="23"/>
      <c r="N25" s="23"/>
      <c r="O25" s="23"/>
      <c r="P25" s="23"/>
      <c r="Q25" s="23"/>
      <c r="R25" s="23"/>
      <c r="S25" s="23"/>
      <c r="T25" s="23"/>
      <c r="U25" s="23"/>
    </row>
    <row r="26" spans="1:21" x14ac:dyDescent="0.25">
      <c r="A26" s="23"/>
      <c r="B26" s="23"/>
      <c r="C26" s="23"/>
      <c r="D26" s="23"/>
      <c r="E26" s="23"/>
      <c r="F26" s="23"/>
      <c r="G26" s="23"/>
      <c r="H26" s="23"/>
      <c r="I26" s="23"/>
      <c r="J26" s="23"/>
      <c r="K26" s="23"/>
      <c r="L26" s="23"/>
      <c r="M26" s="23"/>
      <c r="N26" s="23"/>
      <c r="O26" s="23"/>
      <c r="P26" s="23"/>
      <c r="Q26" s="23"/>
      <c r="R26" s="23"/>
      <c r="S26" s="23"/>
      <c r="T26" s="23"/>
      <c r="U26" s="23"/>
    </row>
    <row r="27" spans="1:21" x14ac:dyDescent="0.25">
      <c r="A27" s="23"/>
      <c r="B27" s="23"/>
      <c r="C27" s="23"/>
      <c r="D27" s="23"/>
      <c r="E27" s="23"/>
      <c r="F27" s="23"/>
      <c r="G27" s="23"/>
      <c r="H27" s="23"/>
      <c r="I27" s="23"/>
      <c r="J27" s="23"/>
      <c r="K27" s="23"/>
      <c r="L27" s="23"/>
      <c r="M27" s="23"/>
      <c r="N27" s="23"/>
      <c r="O27" s="23"/>
      <c r="P27" s="23"/>
      <c r="Q27" s="23"/>
      <c r="R27" s="23"/>
      <c r="S27" s="23"/>
      <c r="T27" s="23"/>
      <c r="U27" s="23"/>
    </row>
    <row r="28" spans="1:21" x14ac:dyDescent="0.25">
      <c r="A28" s="23"/>
      <c r="B28" s="23"/>
      <c r="C28" s="23"/>
      <c r="D28" s="23"/>
      <c r="E28" s="23"/>
      <c r="F28" s="23"/>
      <c r="G28" s="23"/>
      <c r="H28" s="23"/>
      <c r="I28" s="23"/>
      <c r="J28" s="23"/>
      <c r="K28" s="23"/>
      <c r="L28" s="23"/>
      <c r="M28" s="23"/>
      <c r="N28" s="23"/>
      <c r="O28" s="23"/>
      <c r="P28" s="23"/>
      <c r="Q28" s="23"/>
      <c r="R28" s="23"/>
      <c r="S28" s="23"/>
      <c r="T28" s="23"/>
      <c r="U28" s="23"/>
    </row>
    <row r="29" spans="1:21" x14ac:dyDescent="0.25">
      <c r="A29" s="23"/>
      <c r="B29" s="23"/>
      <c r="C29" s="23"/>
      <c r="D29" s="23"/>
      <c r="E29" s="23"/>
      <c r="F29" s="23"/>
      <c r="G29" s="23"/>
      <c r="H29" s="23"/>
      <c r="I29" s="23"/>
      <c r="J29" s="23"/>
      <c r="K29" s="23"/>
      <c r="L29" s="23"/>
      <c r="M29" s="23"/>
      <c r="N29" s="23"/>
      <c r="O29" s="23"/>
      <c r="P29" s="23"/>
      <c r="Q29" s="23"/>
      <c r="R29" s="23"/>
      <c r="S29" s="23"/>
      <c r="T29" s="23"/>
      <c r="U29" s="23"/>
    </row>
    <row r="30" spans="1:21" x14ac:dyDescent="0.25">
      <c r="A30" s="23"/>
      <c r="B30" s="23"/>
      <c r="C30" s="23"/>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R38" s="23"/>
      <c r="S38" s="23"/>
      <c r="T38" s="23"/>
      <c r="U38" s="23"/>
    </row>
    <row r="39" spans="1:21" x14ac:dyDescent="0.25">
      <c r="R39" s="23"/>
      <c r="S39" s="23"/>
      <c r="T39" s="23"/>
      <c r="U39" s="23"/>
    </row>
    <row r="40" spans="1:21" x14ac:dyDescent="0.25">
      <c r="R40" s="23"/>
      <c r="S40" s="23"/>
      <c r="T40" s="23"/>
      <c r="U40" s="23"/>
    </row>
  </sheetData>
  <sheetProtection password="CC70" sheet="1" objects="1" scenarios="1"/>
  <mergeCells count="10">
    <mergeCell ref="N2:P2"/>
    <mergeCell ref="J7:K8"/>
    <mergeCell ref="N11:P11"/>
    <mergeCell ref="N18:P18"/>
    <mergeCell ref="I2:K3"/>
    <mergeCell ref="B24:D24"/>
    <mergeCell ref="B21:D21"/>
    <mergeCell ref="B22:D22"/>
    <mergeCell ref="B23:D23"/>
    <mergeCell ref="B2:E2"/>
  </mergeCells>
  <pageMargins left="0.70866141732283472" right="0.70866141732283472" top="0.74803149606299213" bottom="0.74803149606299213" header="0.31496062992125984" footer="0.31496062992125984"/>
  <pageSetup paperSize="9" orientation="landscape" horizontalDpi="4294967293" verticalDpi="0" r:id="rId1"/>
  <headerFooter>
    <oddFooter>&amp;C&amp;F                &amp;A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workbookViewId="0">
      <pane xSplit="25" ySplit="30" topLeftCell="Z40" activePane="bottomRight" state="frozenSplit"/>
      <selection pane="topRight" activeCell="U1" sqref="U1"/>
      <selection pane="bottomLeft" activeCell="A31" sqref="A31"/>
      <selection pane="bottomRight" activeCell="U19" sqref="U19"/>
    </sheetView>
  </sheetViews>
  <sheetFormatPr baseColWidth="10" defaultRowHeight="15" x14ac:dyDescent="0.25"/>
  <cols>
    <col min="1" max="1" width="8.7109375" style="488" customWidth="1"/>
    <col min="2" max="2" width="18" style="488" customWidth="1"/>
    <col min="3" max="3" width="4.42578125" style="137" customWidth="1"/>
    <col min="4" max="4" width="5" style="137" customWidth="1"/>
    <col min="5" max="5" width="8.7109375" style="137" customWidth="1"/>
    <col min="6" max="6" width="10.140625" style="137" customWidth="1"/>
    <col min="7" max="7" width="5.7109375" style="137" customWidth="1"/>
    <col min="8" max="8" width="2.85546875" style="137" customWidth="1"/>
    <col min="9" max="9" width="3.5703125" style="137" customWidth="1"/>
    <col min="10" max="10" width="3.85546875" style="137" customWidth="1"/>
    <col min="11" max="11" width="3.5703125" style="137" customWidth="1"/>
    <col min="12" max="13" width="4.28515625" style="488" customWidth="1"/>
    <col min="14" max="15" width="11.42578125" style="488"/>
    <col min="16" max="16" width="2.7109375" style="488" customWidth="1"/>
    <col min="17" max="17" width="5.140625" style="211" customWidth="1"/>
    <col min="18" max="18" width="2.7109375" style="488" customWidth="1"/>
    <col min="19" max="19" width="4.85546875" style="488" customWidth="1"/>
    <col min="20" max="20" width="5.85546875" style="488" customWidth="1"/>
    <col min="21" max="21" width="4" style="488" customWidth="1"/>
    <col min="22" max="23" width="4.42578125" style="488" customWidth="1"/>
    <col min="24" max="24" width="11.42578125" style="488" customWidth="1"/>
    <col min="25" max="25" width="71.5703125" style="488" customWidth="1"/>
    <col min="26" max="26" width="23.140625" style="488" customWidth="1"/>
    <col min="27" max="16384" width="11.42578125" style="488"/>
  </cols>
  <sheetData>
    <row r="1" spans="1:26" ht="15.75" thickBot="1" x14ac:dyDescent="0.3">
      <c r="A1" s="432"/>
      <c r="B1" s="432"/>
      <c r="C1" s="432"/>
      <c r="D1" s="547"/>
      <c r="E1" s="432"/>
      <c r="F1" s="432"/>
      <c r="G1" s="547"/>
      <c r="H1" s="432"/>
      <c r="I1" s="432"/>
      <c r="J1" s="432"/>
      <c r="K1" s="432"/>
      <c r="L1" s="432"/>
      <c r="M1" s="432"/>
      <c r="N1" s="432"/>
      <c r="O1" s="432"/>
      <c r="P1" s="432"/>
      <c r="Q1" s="547"/>
      <c r="R1" s="432"/>
      <c r="S1" s="432"/>
      <c r="T1" s="432"/>
      <c r="U1" s="432"/>
      <c r="V1" s="432"/>
      <c r="W1" s="432"/>
      <c r="X1" s="432"/>
      <c r="Y1" s="432"/>
      <c r="Z1" s="38"/>
    </row>
    <row r="2" spans="1:26" ht="15.75" thickBot="1" x14ac:dyDescent="0.3">
      <c r="A2" s="432"/>
      <c r="B2" s="432"/>
      <c r="C2" s="705" t="s">
        <v>366</v>
      </c>
      <c r="D2" s="706"/>
      <c r="E2" s="706"/>
      <c r="F2" s="706"/>
      <c r="G2" s="706"/>
      <c r="H2" s="706"/>
      <c r="I2" s="707"/>
      <c r="J2" s="432"/>
      <c r="K2" s="432"/>
      <c r="L2" s="432"/>
      <c r="M2" s="432"/>
      <c r="N2" s="432"/>
      <c r="O2" s="708" t="s">
        <v>367</v>
      </c>
      <c r="P2" s="709"/>
      <c r="Q2" s="709"/>
      <c r="R2" s="709"/>
      <c r="S2" s="709"/>
      <c r="T2" s="709"/>
      <c r="U2" s="709"/>
      <c r="V2" s="709"/>
      <c r="W2" s="709"/>
      <c r="X2" s="710"/>
      <c r="Y2" s="432"/>
      <c r="Z2" s="38"/>
    </row>
    <row r="3" spans="1:26" ht="15.75" customHeight="1" thickBot="1" x14ac:dyDescent="0.3">
      <c r="A3" s="432"/>
      <c r="B3" s="432"/>
      <c r="C3" s="711" t="s">
        <v>368</v>
      </c>
      <c r="D3" s="712"/>
      <c r="E3" s="712"/>
      <c r="F3" s="712"/>
      <c r="G3" s="712"/>
      <c r="H3" s="712"/>
      <c r="I3" s="713"/>
      <c r="J3" s="432"/>
      <c r="K3" s="432"/>
      <c r="L3" s="432"/>
      <c r="M3" s="432"/>
      <c r="N3" s="432"/>
      <c r="O3" s="432"/>
      <c r="P3" s="432"/>
      <c r="Q3" s="547"/>
      <c r="R3" s="432"/>
      <c r="S3" s="432"/>
      <c r="T3" s="432"/>
      <c r="U3" s="432"/>
      <c r="V3" s="432"/>
      <c r="W3" s="432"/>
      <c r="X3" s="432"/>
      <c r="Y3" s="432"/>
      <c r="Z3" s="38"/>
    </row>
    <row r="4" spans="1:26" x14ac:dyDescent="0.25">
      <c r="A4" s="432"/>
      <c r="B4" s="432"/>
      <c r="C4" s="432"/>
      <c r="D4" s="547"/>
      <c r="E4" s="432"/>
      <c r="F4" s="432"/>
      <c r="G4" s="547"/>
      <c r="H4" s="432"/>
      <c r="I4" s="432"/>
      <c r="J4" s="714" t="s">
        <v>555</v>
      </c>
      <c r="K4" s="714"/>
      <c r="L4" s="714"/>
      <c r="M4" s="547"/>
      <c r="N4" s="432"/>
      <c r="O4" s="432"/>
      <c r="P4" s="432"/>
      <c r="Q4" s="547"/>
      <c r="R4" s="432"/>
      <c r="S4" s="432"/>
      <c r="T4" s="432"/>
      <c r="U4" s="432"/>
      <c r="V4" s="432"/>
      <c r="W4" s="432"/>
      <c r="X4" s="432"/>
      <c r="Y4" s="432"/>
      <c r="Z4" s="38"/>
    </row>
    <row r="5" spans="1:26" x14ac:dyDescent="0.25">
      <c r="A5" s="432"/>
      <c r="B5" s="432"/>
      <c r="C5" s="432"/>
      <c r="D5" s="547"/>
      <c r="E5" s="432"/>
      <c r="F5" s="432"/>
      <c r="G5" s="439">
        <v>1</v>
      </c>
      <c r="H5" s="432"/>
      <c r="I5" s="432"/>
      <c r="J5" s="715">
        <v>0.05</v>
      </c>
      <c r="K5" s="715"/>
      <c r="L5" s="432" t="s">
        <v>10</v>
      </c>
      <c r="M5" s="432"/>
      <c r="N5" s="432"/>
      <c r="O5" s="432"/>
      <c r="P5" s="432"/>
      <c r="Q5" s="547"/>
      <c r="R5" s="432"/>
      <c r="S5" s="432"/>
      <c r="T5" s="432"/>
      <c r="U5" s="432"/>
      <c r="V5" s="432"/>
      <c r="W5" s="432"/>
      <c r="X5" s="432"/>
      <c r="Y5" s="432"/>
      <c r="Z5" s="38"/>
    </row>
    <row r="6" spans="1:26" ht="15.75" thickBot="1" x14ac:dyDescent="0.3">
      <c r="A6" s="432"/>
      <c r="B6" s="432"/>
      <c r="C6" s="432"/>
      <c r="D6" s="547"/>
      <c r="E6" s="432"/>
      <c r="F6" s="432"/>
      <c r="G6" s="547"/>
      <c r="H6" s="432"/>
      <c r="I6" s="432"/>
      <c r="J6" s="432"/>
      <c r="K6" s="432"/>
      <c r="L6" s="432"/>
      <c r="M6" s="432"/>
      <c r="N6" s="432"/>
      <c r="O6" s="432"/>
      <c r="P6" s="432"/>
      <c r="Q6" s="547"/>
      <c r="R6" s="432"/>
      <c r="S6" s="432"/>
      <c r="T6" s="432"/>
      <c r="U6" s="432"/>
      <c r="V6" s="432"/>
      <c r="W6" s="432"/>
      <c r="X6" s="432"/>
      <c r="Y6" s="432"/>
      <c r="Z6" s="38"/>
    </row>
    <row r="7" spans="1:26" ht="15.75" thickBot="1" x14ac:dyDescent="0.3">
      <c r="A7" s="432"/>
      <c r="B7" s="432" t="s">
        <v>369</v>
      </c>
      <c r="C7" s="432"/>
      <c r="D7" s="556">
        <f>$O$22</f>
        <v>20</v>
      </c>
      <c r="E7" s="435" t="s">
        <v>47</v>
      </c>
      <c r="F7" s="432"/>
      <c r="G7" s="436">
        <f>$G$5/20*D7</f>
        <v>1</v>
      </c>
      <c r="H7" s="432" t="s">
        <v>10</v>
      </c>
      <c r="I7" s="432" t="s">
        <v>556</v>
      </c>
      <c r="J7" s="436">
        <f>G7/J5</f>
        <v>20</v>
      </c>
      <c r="K7" s="432" t="s">
        <v>245</v>
      </c>
      <c r="L7" s="432"/>
      <c r="M7" s="432"/>
      <c r="N7" s="432"/>
      <c r="O7" s="432" t="s">
        <v>369</v>
      </c>
      <c r="P7" s="432"/>
      <c r="Q7" s="556">
        <f>$O$22</f>
        <v>20</v>
      </c>
      <c r="R7" s="435" t="s">
        <v>47</v>
      </c>
      <c r="S7" s="432"/>
      <c r="T7" s="492">
        <f>$G$5/14.25*Q7</f>
        <v>1.4035087719298245</v>
      </c>
      <c r="U7" s="432" t="s">
        <v>10</v>
      </c>
      <c r="V7" s="432" t="s">
        <v>556</v>
      </c>
      <c r="W7" s="436">
        <f>T7/J5</f>
        <v>28.07017543859649</v>
      </c>
      <c r="X7" s="432" t="s">
        <v>245</v>
      </c>
      <c r="Y7" s="432"/>
      <c r="Z7" s="38"/>
    </row>
    <row r="8" spans="1:26" ht="15.75" thickBot="1" x14ac:dyDescent="0.3">
      <c r="A8" s="432"/>
      <c r="B8" s="432"/>
      <c r="C8" s="432"/>
      <c r="D8" s="547"/>
      <c r="E8" s="432"/>
      <c r="F8" s="432"/>
      <c r="G8" s="547"/>
      <c r="H8" s="432"/>
      <c r="I8" s="432"/>
      <c r="J8" s="432"/>
      <c r="K8" s="432"/>
      <c r="L8" s="432"/>
      <c r="M8" s="432"/>
      <c r="N8" s="432"/>
      <c r="O8" s="432"/>
      <c r="P8" s="432"/>
      <c r="Q8" s="547"/>
      <c r="R8" s="432"/>
      <c r="S8" s="432"/>
      <c r="T8" s="549"/>
      <c r="U8" s="432"/>
      <c r="V8" s="432"/>
      <c r="W8" s="432"/>
      <c r="X8" s="432"/>
      <c r="Y8" s="432"/>
      <c r="Z8" s="38"/>
    </row>
    <row r="9" spans="1:26" ht="15.75" thickBot="1" x14ac:dyDescent="0.3">
      <c r="A9" s="432"/>
      <c r="B9" s="432" t="s">
        <v>370</v>
      </c>
      <c r="C9" s="432"/>
      <c r="D9" s="556">
        <f>$O$22</f>
        <v>20</v>
      </c>
      <c r="E9" s="435" t="s">
        <v>47</v>
      </c>
      <c r="F9" s="432"/>
      <c r="G9" s="436">
        <f>$G$5/20*D9</f>
        <v>1</v>
      </c>
      <c r="H9" s="432" t="s">
        <v>10</v>
      </c>
      <c r="I9" s="432" t="s">
        <v>556</v>
      </c>
      <c r="J9" s="436">
        <f>G9/J5</f>
        <v>20</v>
      </c>
      <c r="K9" s="432" t="s">
        <v>245</v>
      </c>
      <c r="L9" s="432"/>
      <c r="M9" s="432"/>
      <c r="N9" s="432"/>
      <c r="O9" s="432" t="s">
        <v>370</v>
      </c>
      <c r="P9" s="432"/>
      <c r="Q9" s="556">
        <f>$O$22</f>
        <v>20</v>
      </c>
      <c r="R9" s="435" t="s">
        <v>47</v>
      </c>
      <c r="S9" s="432"/>
      <c r="T9" s="438">
        <f>$G$5/20*Q9</f>
        <v>1</v>
      </c>
      <c r="U9" s="432" t="s">
        <v>10</v>
      </c>
      <c r="V9" s="432" t="s">
        <v>556</v>
      </c>
      <c r="W9" s="436">
        <f>T9/J5</f>
        <v>20</v>
      </c>
      <c r="X9" s="432" t="s">
        <v>245</v>
      </c>
      <c r="Y9" s="432"/>
      <c r="Z9" s="38"/>
    </row>
    <row r="10" spans="1:26" ht="15.75" thickBot="1" x14ac:dyDescent="0.3">
      <c r="A10" s="432"/>
      <c r="B10" s="432"/>
      <c r="C10" s="432"/>
      <c r="D10" s="547"/>
      <c r="E10" s="432"/>
      <c r="F10" s="432"/>
      <c r="G10" s="547"/>
      <c r="H10" s="432"/>
      <c r="I10" s="432"/>
      <c r="J10" s="432"/>
      <c r="K10" s="432"/>
      <c r="L10" s="432"/>
      <c r="M10" s="432"/>
      <c r="N10" s="432"/>
      <c r="O10" s="432"/>
      <c r="P10" s="432"/>
      <c r="Q10" s="547"/>
      <c r="R10" s="432"/>
      <c r="S10" s="432"/>
      <c r="T10" s="549"/>
      <c r="U10" s="432"/>
      <c r="V10" s="432"/>
      <c r="W10" s="432"/>
      <c r="X10" s="432"/>
      <c r="Y10" s="432"/>
      <c r="Z10" s="38"/>
    </row>
    <row r="11" spans="1:26" ht="14.25" customHeight="1" thickBot="1" x14ac:dyDescent="0.3">
      <c r="A11" s="432"/>
      <c r="B11" s="433" t="s">
        <v>371</v>
      </c>
      <c r="C11" s="432"/>
      <c r="D11" s="557">
        <f>$O$26</f>
        <v>10</v>
      </c>
      <c r="E11" s="435" t="s">
        <v>4</v>
      </c>
      <c r="F11" s="432"/>
      <c r="G11" s="436">
        <f>$G$5/10*D11</f>
        <v>1</v>
      </c>
      <c r="H11" s="432" t="s">
        <v>10</v>
      </c>
      <c r="I11" s="432" t="s">
        <v>556</v>
      </c>
      <c r="J11" s="436">
        <f>G11/J5</f>
        <v>20</v>
      </c>
      <c r="K11" s="432" t="s">
        <v>245</v>
      </c>
      <c r="L11" s="432"/>
      <c r="M11" s="432"/>
      <c r="N11" s="432"/>
      <c r="O11" s="433" t="s">
        <v>371</v>
      </c>
      <c r="P11" s="432"/>
      <c r="Q11" s="557">
        <f>$O$26</f>
        <v>10</v>
      </c>
      <c r="R11" s="435" t="s">
        <v>4</v>
      </c>
      <c r="S11" s="432"/>
      <c r="T11" s="438">
        <f>$G$5/5*Q11</f>
        <v>2</v>
      </c>
      <c r="U11" s="432" t="s">
        <v>10</v>
      </c>
      <c r="V11" s="432" t="s">
        <v>556</v>
      </c>
      <c r="W11" s="436">
        <f>T11/J5</f>
        <v>40</v>
      </c>
      <c r="X11" s="432" t="s">
        <v>245</v>
      </c>
      <c r="Y11" s="432"/>
      <c r="Z11" s="38"/>
    </row>
    <row r="12" spans="1:26" ht="24.75" customHeight="1" thickBot="1" x14ac:dyDescent="0.3">
      <c r="A12" s="432"/>
      <c r="B12" s="432"/>
      <c r="C12" s="432"/>
      <c r="D12" s="547"/>
      <c r="E12" s="432"/>
      <c r="F12" s="432"/>
      <c r="G12" s="547"/>
      <c r="H12" s="432"/>
      <c r="I12" s="432"/>
      <c r="J12" s="432"/>
      <c r="K12" s="432"/>
      <c r="L12" s="432"/>
      <c r="M12" s="432"/>
      <c r="N12" s="432"/>
      <c r="O12" s="432"/>
      <c r="P12" s="432"/>
      <c r="Q12" s="547"/>
      <c r="R12" s="435"/>
      <c r="S12" s="432"/>
      <c r="T12" s="549"/>
      <c r="U12" s="432"/>
      <c r="V12" s="432"/>
      <c r="W12" s="432"/>
      <c r="X12" s="432"/>
      <c r="Y12" s="432"/>
      <c r="Z12" s="38"/>
    </row>
    <row r="13" spans="1:26" ht="15.75" thickBot="1" x14ac:dyDescent="0.3">
      <c r="A13" s="432"/>
      <c r="B13" s="548" t="s">
        <v>372</v>
      </c>
      <c r="C13" s="432"/>
      <c r="D13" s="557">
        <f>$O$26</f>
        <v>10</v>
      </c>
      <c r="E13" s="725" t="s">
        <v>4</v>
      </c>
      <c r="F13" s="432"/>
      <c r="G13" s="726">
        <f>$G$5/25*D13</f>
        <v>0.4</v>
      </c>
      <c r="H13" s="728" t="s">
        <v>10</v>
      </c>
      <c r="I13" s="720" t="s">
        <v>556</v>
      </c>
      <c r="J13" s="726">
        <f>G13/J5</f>
        <v>8</v>
      </c>
      <c r="K13" s="720" t="s">
        <v>245</v>
      </c>
      <c r="L13" s="432"/>
      <c r="M13" s="432"/>
      <c r="N13" s="432"/>
      <c r="O13" s="548" t="s">
        <v>372</v>
      </c>
      <c r="P13" s="432"/>
      <c r="Q13" s="557">
        <f>$O$26</f>
        <v>10</v>
      </c>
      <c r="R13" s="435" t="s">
        <v>4</v>
      </c>
      <c r="S13" s="432"/>
      <c r="T13" s="438">
        <f>$G$5/25*Q13</f>
        <v>0.4</v>
      </c>
      <c r="U13" s="493" t="s">
        <v>10</v>
      </c>
      <c r="V13" s="432" t="s">
        <v>556</v>
      </c>
      <c r="W13" s="436">
        <f>T13/J5</f>
        <v>8</v>
      </c>
      <c r="X13" s="432" t="s">
        <v>245</v>
      </c>
      <c r="Y13" s="432"/>
    </row>
    <row r="14" spans="1:26" ht="15.75" thickBot="1" x14ac:dyDescent="0.3">
      <c r="A14" s="432"/>
      <c r="B14" s="432" t="s">
        <v>373</v>
      </c>
      <c r="C14" s="432"/>
      <c r="D14" s="557">
        <f>$O$26</f>
        <v>10</v>
      </c>
      <c r="E14" s="725"/>
      <c r="F14" s="432"/>
      <c r="G14" s="727"/>
      <c r="H14" s="728"/>
      <c r="I14" s="720"/>
      <c r="J14" s="727"/>
      <c r="K14" s="720"/>
      <c r="L14" s="432"/>
      <c r="M14" s="432"/>
      <c r="N14" s="432"/>
      <c r="O14" s="432"/>
      <c r="P14" s="432"/>
      <c r="Q14" s="434"/>
      <c r="R14" s="432"/>
      <c r="S14" s="432"/>
      <c r="T14" s="434"/>
      <c r="U14" s="493"/>
      <c r="V14" s="432"/>
      <c r="W14" s="432"/>
      <c r="X14" s="432"/>
      <c r="Y14" s="432"/>
    </row>
    <row r="15" spans="1:26" ht="15.75" thickBot="1" x14ac:dyDescent="0.3">
      <c r="A15" s="432"/>
      <c r="B15" s="432"/>
      <c r="C15" s="432"/>
      <c r="D15" s="547"/>
      <c r="E15" s="432"/>
      <c r="F15" s="432"/>
      <c r="G15" s="547"/>
      <c r="H15" s="432"/>
      <c r="I15" s="432"/>
      <c r="J15" s="432"/>
      <c r="K15" s="432"/>
      <c r="L15" s="432"/>
      <c r="M15" s="432"/>
      <c r="N15" s="432"/>
      <c r="O15" s="548" t="s">
        <v>374</v>
      </c>
      <c r="P15" s="432"/>
      <c r="Q15" s="557">
        <f>$O$26</f>
        <v>10</v>
      </c>
      <c r="R15" s="435" t="s">
        <v>4</v>
      </c>
      <c r="S15" s="432"/>
      <c r="T15" s="438">
        <f>$G$5/10*Q15</f>
        <v>1</v>
      </c>
      <c r="U15" s="432" t="s">
        <v>10</v>
      </c>
      <c r="V15" s="432" t="s">
        <v>556</v>
      </c>
      <c r="W15" s="436">
        <f>T15/J5</f>
        <v>20</v>
      </c>
      <c r="X15" s="432" t="s">
        <v>245</v>
      </c>
      <c r="Y15" s="432"/>
    </row>
    <row r="16" spans="1:26" ht="15.75" thickBot="1" x14ac:dyDescent="0.3">
      <c r="A16" s="432"/>
      <c r="B16" s="432"/>
      <c r="C16" s="432"/>
      <c r="D16" s="547"/>
      <c r="E16" s="432"/>
      <c r="F16" s="432"/>
      <c r="G16" s="547"/>
      <c r="H16" s="432"/>
      <c r="I16" s="432"/>
      <c r="J16" s="432"/>
      <c r="K16" s="432"/>
      <c r="L16" s="432"/>
      <c r="M16" s="432"/>
      <c r="N16" s="432"/>
      <c r="O16" s="432"/>
      <c r="P16" s="432"/>
      <c r="Q16" s="547"/>
      <c r="R16" s="432"/>
      <c r="S16" s="432"/>
      <c r="T16" s="549"/>
      <c r="U16" s="432"/>
      <c r="V16" s="432"/>
      <c r="W16" s="432"/>
      <c r="X16" s="432"/>
      <c r="Y16" s="432"/>
    </row>
    <row r="17" spans="1:25" x14ac:dyDescent="0.25">
      <c r="A17" s="432"/>
      <c r="B17" s="432"/>
      <c r="C17" s="705" t="s">
        <v>375</v>
      </c>
      <c r="D17" s="706"/>
      <c r="E17" s="706"/>
      <c r="F17" s="706"/>
      <c r="G17" s="706"/>
      <c r="H17" s="707"/>
      <c r="I17" s="432"/>
      <c r="J17" s="432"/>
      <c r="K17" s="432"/>
      <c r="L17" s="432"/>
      <c r="M17" s="432"/>
      <c r="N17" s="432"/>
      <c r="O17" s="432"/>
      <c r="P17" s="432"/>
      <c r="Q17" s="547"/>
      <c r="R17" s="432"/>
      <c r="S17" s="432"/>
      <c r="T17" s="432"/>
      <c r="U17" s="432"/>
      <c r="V17" s="432"/>
      <c r="W17" s="432"/>
      <c r="X17" s="432"/>
      <c r="Y17" s="432"/>
    </row>
    <row r="18" spans="1:25" ht="15.75" thickBot="1" x14ac:dyDescent="0.3">
      <c r="A18" s="432"/>
      <c r="B18" s="432"/>
      <c r="C18" s="711" t="s">
        <v>376</v>
      </c>
      <c r="D18" s="712"/>
      <c r="E18" s="712"/>
      <c r="F18" s="712"/>
      <c r="G18" s="712"/>
      <c r="H18" s="713"/>
      <c r="I18" s="432"/>
      <c r="J18" s="432"/>
      <c r="K18" s="432"/>
      <c r="L18" s="432"/>
      <c r="M18" s="432"/>
      <c r="N18" s="432"/>
      <c r="O18" s="432"/>
      <c r="P18" s="432"/>
      <c r="Q18" s="547"/>
      <c r="R18" s="432"/>
      <c r="S18" s="432"/>
      <c r="T18" s="432"/>
      <c r="U18" s="432"/>
      <c r="V18" s="432"/>
      <c r="W18" s="432"/>
      <c r="X18" s="432"/>
      <c r="Y18" s="432"/>
    </row>
    <row r="19" spans="1:25" ht="15.75" thickBot="1" x14ac:dyDescent="0.3">
      <c r="A19" s="432"/>
      <c r="B19" s="432"/>
      <c r="C19" s="432"/>
      <c r="D19" s="547"/>
      <c r="E19" s="432"/>
      <c r="F19" s="432"/>
      <c r="G19" s="547"/>
      <c r="H19" s="432"/>
      <c r="I19" s="432"/>
      <c r="J19" s="432"/>
      <c r="K19" s="432"/>
      <c r="L19" s="432"/>
      <c r="M19" s="432"/>
      <c r="N19" s="432"/>
      <c r="O19" s="432"/>
      <c r="P19" s="432"/>
      <c r="Q19" s="547"/>
      <c r="R19" s="432"/>
      <c r="S19" s="432"/>
      <c r="T19" s="432"/>
      <c r="U19" s="432"/>
      <c r="V19" s="432"/>
      <c r="W19" s="432"/>
      <c r="X19" s="432"/>
      <c r="Y19" s="432"/>
    </row>
    <row r="20" spans="1:25" ht="15.75" thickBot="1" x14ac:dyDescent="0.3">
      <c r="A20" s="432"/>
      <c r="B20" s="432" t="s">
        <v>369</v>
      </c>
      <c r="C20" s="432"/>
      <c r="D20" s="556">
        <f>$O$22</f>
        <v>20</v>
      </c>
      <c r="E20" s="435" t="s">
        <v>47</v>
      </c>
      <c r="F20" s="432"/>
      <c r="G20" s="437">
        <f>$G$5/14.25*D20</f>
        <v>1.4035087719298245</v>
      </c>
      <c r="H20" s="432" t="s">
        <v>10</v>
      </c>
      <c r="I20" s="432" t="s">
        <v>556</v>
      </c>
      <c r="J20" s="436">
        <f>G20/J5</f>
        <v>28.07017543859649</v>
      </c>
      <c r="K20" s="432" t="s">
        <v>245</v>
      </c>
      <c r="L20" s="432"/>
      <c r="M20" s="552"/>
      <c r="N20" s="716" t="s">
        <v>542</v>
      </c>
      <c r="O20" s="716"/>
      <c r="P20" s="716"/>
      <c r="Q20" s="716"/>
      <c r="R20" s="552"/>
      <c r="S20" s="552"/>
      <c r="T20" s="432"/>
      <c r="U20" s="432"/>
      <c r="V20" s="432"/>
      <c r="W20" s="432"/>
      <c r="X20" s="432"/>
      <c r="Y20" s="432"/>
    </row>
    <row r="21" spans="1:25" ht="15.75" thickBot="1" x14ac:dyDescent="0.3">
      <c r="A21" s="432"/>
      <c r="B21" s="432"/>
      <c r="C21" s="432"/>
      <c r="D21" s="547"/>
      <c r="E21" s="432"/>
      <c r="F21" s="432"/>
      <c r="G21" s="547"/>
      <c r="H21" s="432"/>
      <c r="I21" s="432"/>
      <c r="J21" s="432"/>
      <c r="K21" s="432"/>
      <c r="L21" s="432"/>
      <c r="M21" s="552"/>
      <c r="N21" s="716"/>
      <c r="O21" s="716"/>
      <c r="P21" s="716"/>
      <c r="Q21" s="716"/>
      <c r="R21" s="552"/>
      <c r="S21" s="552"/>
      <c r="T21" s="432"/>
      <c r="U21" s="432"/>
      <c r="V21" s="432"/>
      <c r="W21" s="432"/>
      <c r="X21" s="432"/>
      <c r="Y21" s="432"/>
    </row>
    <row r="22" spans="1:25" ht="15.75" thickBot="1" x14ac:dyDescent="0.3">
      <c r="A22" s="432"/>
      <c r="B22" s="432" t="s">
        <v>370</v>
      </c>
      <c r="C22" s="432"/>
      <c r="D22" s="556">
        <f>$O$22</f>
        <v>20</v>
      </c>
      <c r="E22" s="435" t="s">
        <v>47</v>
      </c>
      <c r="F22" s="432"/>
      <c r="G22" s="436">
        <f>$G$5/20*D22</f>
        <v>1</v>
      </c>
      <c r="H22" s="432" t="s">
        <v>10</v>
      </c>
      <c r="I22" s="432" t="s">
        <v>556</v>
      </c>
      <c r="J22" s="436">
        <f>G22/J5</f>
        <v>20</v>
      </c>
      <c r="K22" s="432" t="s">
        <v>245</v>
      </c>
      <c r="L22" s="432"/>
      <c r="M22" s="552"/>
      <c r="N22" s="552"/>
      <c r="O22" s="721">
        <v>20</v>
      </c>
      <c r="P22" s="723" t="s">
        <v>544</v>
      </c>
      <c r="Q22" s="724"/>
      <c r="R22" s="552"/>
      <c r="S22" s="552"/>
      <c r="T22" s="432"/>
      <c r="U22" s="432"/>
      <c r="V22" s="432"/>
      <c r="W22" s="432"/>
      <c r="X22" s="432"/>
      <c r="Y22" s="432"/>
    </row>
    <row r="23" spans="1:25" ht="15.75" thickBot="1" x14ac:dyDescent="0.3">
      <c r="A23" s="432"/>
      <c r="B23" s="432"/>
      <c r="C23" s="432"/>
      <c r="D23" s="547"/>
      <c r="E23" s="435"/>
      <c r="F23" s="432"/>
      <c r="G23" s="547"/>
      <c r="H23" s="432"/>
      <c r="I23" s="432"/>
      <c r="J23" s="432"/>
      <c r="K23" s="432"/>
      <c r="L23" s="432"/>
      <c r="M23" s="552"/>
      <c r="N23" s="552"/>
      <c r="O23" s="722"/>
      <c r="P23" s="723"/>
      <c r="Q23" s="724"/>
      <c r="R23" s="552"/>
      <c r="S23" s="552"/>
      <c r="T23" s="432"/>
      <c r="U23" s="432"/>
      <c r="V23" s="432"/>
      <c r="W23" s="432"/>
      <c r="X23" s="432"/>
      <c r="Y23" s="432"/>
    </row>
    <row r="24" spans="1:25" ht="15.75" thickBot="1" x14ac:dyDescent="0.3">
      <c r="A24" s="432"/>
      <c r="B24" s="433" t="s">
        <v>371</v>
      </c>
      <c r="C24" s="432"/>
      <c r="D24" s="557">
        <f>$O$26</f>
        <v>10</v>
      </c>
      <c r="E24" s="435" t="s">
        <v>4</v>
      </c>
      <c r="F24" s="432"/>
      <c r="G24" s="436">
        <f>$G$5/10*D24</f>
        <v>1</v>
      </c>
      <c r="H24" s="432" t="s">
        <v>10</v>
      </c>
      <c r="I24" s="432" t="s">
        <v>556</v>
      </c>
      <c r="J24" s="436">
        <f>G24/J5</f>
        <v>20</v>
      </c>
      <c r="K24" s="432" t="s">
        <v>245</v>
      </c>
      <c r="L24" s="432"/>
      <c r="M24" s="552"/>
      <c r="N24" s="552"/>
      <c r="O24" s="552"/>
      <c r="P24" s="552"/>
      <c r="Q24" s="553"/>
      <c r="R24" s="552"/>
      <c r="S24" s="552"/>
      <c r="T24" s="432"/>
      <c r="U24" s="432"/>
      <c r="V24" s="432"/>
      <c r="W24" s="432"/>
      <c r="X24" s="432"/>
      <c r="Y24" s="432"/>
    </row>
    <row r="25" spans="1:25" ht="24" thickBot="1" x14ac:dyDescent="0.4">
      <c r="A25" s="432"/>
      <c r="B25" s="432"/>
      <c r="C25" s="432"/>
      <c r="D25" s="547"/>
      <c r="E25" s="432"/>
      <c r="F25" s="432"/>
      <c r="G25" s="547"/>
      <c r="H25" s="432"/>
      <c r="I25" s="432"/>
      <c r="J25" s="432"/>
      <c r="K25" s="432"/>
      <c r="L25" s="432"/>
      <c r="M25" s="552"/>
      <c r="N25" s="716" t="s">
        <v>543</v>
      </c>
      <c r="O25" s="716"/>
      <c r="P25" s="716"/>
      <c r="Q25" s="716"/>
      <c r="R25" s="552"/>
      <c r="S25" s="552"/>
      <c r="T25" s="432"/>
      <c r="U25" s="432"/>
      <c r="V25" s="432"/>
      <c r="W25" s="432"/>
      <c r="X25" s="432"/>
      <c r="Y25" s="432"/>
    </row>
    <row r="26" spans="1:25" ht="15.75" thickBot="1" x14ac:dyDescent="0.3">
      <c r="A26" s="432"/>
      <c r="B26" s="548" t="s">
        <v>372</v>
      </c>
      <c r="C26" s="432"/>
      <c r="D26" s="557">
        <f>$O$26</f>
        <v>10</v>
      </c>
      <c r="E26" s="435" t="s">
        <v>4</v>
      </c>
      <c r="F26" s="432"/>
      <c r="G26" s="438">
        <f>$G$5/25*D26</f>
        <v>0.4</v>
      </c>
      <c r="H26" s="493" t="s">
        <v>10</v>
      </c>
      <c r="I26" s="432" t="s">
        <v>556</v>
      </c>
      <c r="J26" s="436">
        <f>G26/J5</f>
        <v>8</v>
      </c>
      <c r="K26" s="432" t="s">
        <v>245</v>
      </c>
      <c r="L26" s="432"/>
      <c r="M26" s="552"/>
      <c r="N26" s="552"/>
      <c r="O26" s="717">
        <v>10</v>
      </c>
      <c r="P26" s="719" t="s">
        <v>4</v>
      </c>
      <c r="Q26" s="719"/>
      <c r="R26" s="552"/>
      <c r="S26" s="552"/>
      <c r="T26" s="432"/>
      <c r="U26" s="432"/>
      <c r="V26" s="432"/>
      <c r="W26" s="432"/>
      <c r="X26" s="432"/>
      <c r="Y26" s="432"/>
    </row>
    <row r="27" spans="1:25" ht="15.75" thickBot="1" x14ac:dyDescent="0.3">
      <c r="A27" s="432"/>
      <c r="B27" s="432"/>
      <c r="C27" s="432"/>
      <c r="D27" s="434"/>
      <c r="E27" s="432"/>
      <c r="F27" s="432"/>
      <c r="G27" s="434"/>
      <c r="H27" s="493"/>
      <c r="I27" s="550"/>
      <c r="J27" s="550"/>
      <c r="K27" s="550"/>
      <c r="L27" s="432"/>
      <c r="M27" s="552"/>
      <c r="N27" s="552"/>
      <c r="O27" s="718"/>
      <c r="P27" s="719"/>
      <c r="Q27" s="719"/>
      <c r="R27" s="552"/>
      <c r="S27" s="552"/>
      <c r="T27" s="432"/>
      <c r="U27" s="432"/>
      <c r="V27" s="432"/>
      <c r="W27" s="432"/>
      <c r="X27" s="432"/>
      <c r="Y27" s="432"/>
    </row>
    <row r="28" spans="1:25" ht="15.75" thickBot="1" x14ac:dyDescent="0.3">
      <c r="A28" s="432"/>
      <c r="B28" s="548" t="s">
        <v>374</v>
      </c>
      <c r="C28" s="432"/>
      <c r="D28" s="557">
        <f>$O$26</f>
        <v>10</v>
      </c>
      <c r="E28" s="435" t="s">
        <v>4</v>
      </c>
      <c r="F28" s="432"/>
      <c r="G28" s="436">
        <f>$G$5/25*D28</f>
        <v>0.4</v>
      </c>
      <c r="H28" s="432" t="s">
        <v>10</v>
      </c>
      <c r="I28" s="432" t="s">
        <v>556</v>
      </c>
      <c r="J28" s="436">
        <f>G28/J5</f>
        <v>8</v>
      </c>
      <c r="K28" s="432" t="s">
        <v>245</v>
      </c>
      <c r="L28" s="432"/>
      <c r="M28" s="552"/>
      <c r="N28" s="552"/>
      <c r="O28" s="552"/>
      <c r="P28" s="552"/>
      <c r="Q28" s="553"/>
      <c r="R28" s="552"/>
      <c r="S28" s="552"/>
      <c r="T28" s="432"/>
      <c r="U28" s="432"/>
      <c r="V28" s="432"/>
      <c r="W28" s="432"/>
      <c r="X28" s="432"/>
      <c r="Y28" s="432"/>
    </row>
    <row r="29" spans="1:25" ht="17.25" customHeight="1" x14ac:dyDescent="0.25">
      <c r="A29" s="432"/>
      <c r="B29" s="432"/>
      <c r="C29" s="432"/>
      <c r="D29" s="547"/>
      <c r="E29" s="432"/>
      <c r="F29" s="432"/>
      <c r="G29" s="547"/>
      <c r="H29" s="432"/>
      <c r="I29" s="432"/>
      <c r="J29" s="432"/>
      <c r="K29" s="432"/>
      <c r="L29" s="432"/>
      <c r="M29" s="432"/>
      <c r="N29" s="432"/>
      <c r="O29" s="432"/>
      <c r="P29" s="432"/>
      <c r="Q29" s="547"/>
      <c r="R29" s="432"/>
      <c r="S29" s="432"/>
      <c r="T29" s="432"/>
      <c r="U29" s="432"/>
      <c r="V29" s="432"/>
      <c r="W29" s="432"/>
      <c r="X29" s="432"/>
      <c r="Y29" s="432"/>
    </row>
    <row r="30" spans="1:25" x14ac:dyDescent="0.25">
      <c r="A30" s="432"/>
      <c r="B30" s="432"/>
      <c r="C30" s="432"/>
      <c r="D30" s="547"/>
      <c r="E30" s="432"/>
      <c r="F30" s="432"/>
      <c r="G30" s="547"/>
      <c r="H30" s="432"/>
      <c r="I30" s="432"/>
      <c r="J30" s="432"/>
      <c r="K30" s="432"/>
      <c r="L30" s="432"/>
      <c r="M30" s="432"/>
      <c r="N30" s="432"/>
      <c r="O30" s="432"/>
      <c r="P30" s="432"/>
      <c r="Q30" s="547"/>
      <c r="R30" s="432"/>
      <c r="S30" s="432"/>
      <c r="T30" s="432"/>
      <c r="U30" s="432"/>
      <c r="V30" s="432"/>
      <c r="W30" s="432"/>
      <c r="X30" s="432"/>
      <c r="Y30" s="432"/>
    </row>
  </sheetData>
  <sheetProtection password="CC70" sheet="1" objects="1" scenarios="1"/>
  <mergeCells count="19">
    <mergeCell ref="N25:Q25"/>
    <mergeCell ref="O26:O27"/>
    <mergeCell ref="P26:Q27"/>
    <mergeCell ref="K13:K14"/>
    <mergeCell ref="C17:H17"/>
    <mergeCell ref="C18:H18"/>
    <mergeCell ref="N20:Q21"/>
    <mergeCell ref="O22:O23"/>
    <mergeCell ref="P22:Q23"/>
    <mergeCell ref="E13:E14"/>
    <mergeCell ref="G13:G14"/>
    <mergeCell ref="H13:H14"/>
    <mergeCell ref="I13:I14"/>
    <mergeCell ref="J13:J14"/>
    <mergeCell ref="C2:I2"/>
    <mergeCell ref="O2:X2"/>
    <mergeCell ref="C3:I3"/>
    <mergeCell ref="J4:L4"/>
    <mergeCell ref="J5:K5"/>
  </mergeCells>
  <pageMargins left="0.23622047244094491" right="0.23622047244094491" top="0.74803149606299213" bottom="0.74803149606299213" header="0.31496062992125984" footer="0.31496062992125984"/>
  <pageSetup paperSize="9" orientation="landscape" horizontalDpi="4294967293" verticalDpi="0" r:id="rId1"/>
  <headerFooter>
    <oddFooter>&amp;C&amp;F                   &amp;A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56"/>
  <sheetViews>
    <sheetView zoomScale="124" zoomScaleNormal="124" workbookViewId="0">
      <pane xSplit="14" ySplit="19" topLeftCell="O38" activePane="bottomRight" state="frozenSplit"/>
      <selection pane="topRight" activeCell="R1" sqref="R1"/>
      <selection pane="bottomLeft" activeCell="A19" sqref="A19"/>
      <selection pane="bottomRight" activeCell="E32" sqref="E32"/>
    </sheetView>
  </sheetViews>
  <sheetFormatPr baseColWidth="10" defaultRowHeight="15" x14ac:dyDescent="0.25"/>
  <cols>
    <col min="1" max="1" width="6.7109375" customWidth="1"/>
    <col min="2" max="2" width="5.140625" customWidth="1"/>
    <col min="3" max="3" width="11.42578125" style="98" customWidth="1"/>
    <col min="4" max="4" width="5.42578125" customWidth="1"/>
    <col min="5" max="5" width="15" customWidth="1"/>
    <col min="6" max="7" width="8.42578125" customWidth="1"/>
    <col min="8" max="8" width="10" customWidth="1"/>
    <col min="13" max="13" width="11.85546875" customWidth="1"/>
    <col min="14" max="14" width="52.85546875" customWidth="1"/>
    <col min="17" max="17" width="16.5703125" customWidth="1"/>
  </cols>
  <sheetData>
    <row r="1" spans="1:16" ht="15.75" thickBot="1" x14ac:dyDescent="0.3">
      <c r="A1" s="105"/>
      <c r="B1" s="105"/>
      <c r="C1" s="106"/>
      <c r="D1" s="105"/>
      <c r="E1" s="105"/>
      <c r="F1" s="105"/>
      <c r="G1" s="105"/>
      <c r="H1" s="105"/>
      <c r="I1" s="105"/>
      <c r="J1" s="105"/>
      <c r="K1" s="105"/>
      <c r="L1" s="105"/>
      <c r="M1" s="105"/>
      <c r="N1" s="105"/>
    </row>
    <row r="2" spans="1:16" ht="19.5" thickBot="1" x14ac:dyDescent="0.35">
      <c r="A2" s="105"/>
      <c r="B2" s="105"/>
      <c r="C2" s="106"/>
      <c r="D2" s="105"/>
      <c r="E2" s="107" t="s">
        <v>143</v>
      </c>
      <c r="F2" s="388">
        <v>1002</v>
      </c>
      <c r="G2" s="105"/>
      <c r="H2" s="105"/>
      <c r="I2" s="105"/>
      <c r="J2" s="105"/>
      <c r="K2" s="105"/>
      <c r="L2" s="105"/>
      <c r="M2" s="105"/>
      <c r="N2" s="105"/>
    </row>
    <row r="3" spans="1:16" x14ac:dyDescent="0.25">
      <c r="A3" s="105"/>
      <c r="B3" s="105"/>
      <c r="C3" s="106"/>
      <c r="D3" s="105"/>
      <c r="E3" s="105"/>
      <c r="F3" s="105"/>
      <c r="G3" s="105"/>
      <c r="H3" s="105"/>
      <c r="I3" s="105"/>
      <c r="J3" s="105"/>
      <c r="K3" s="105"/>
      <c r="L3" s="105"/>
      <c r="M3" s="105"/>
      <c r="N3" s="105"/>
    </row>
    <row r="4" spans="1:16" x14ac:dyDescent="0.25">
      <c r="A4" s="105"/>
      <c r="B4" s="105"/>
      <c r="C4" s="106"/>
      <c r="D4" s="105"/>
      <c r="E4" s="105"/>
      <c r="F4" s="105"/>
      <c r="G4" s="105"/>
      <c r="H4" s="105"/>
      <c r="I4" s="105"/>
      <c r="J4" s="105"/>
      <c r="K4" s="105"/>
      <c r="L4" s="105"/>
      <c r="M4" s="105"/>
      <c r="N4" s="105"/>
    </row>
    <row r="5" spans="1:16" x14ac:dyDescent="0.25">
      <c r="A5" s="105"/>
      <c r="B5" s="105"/>
      <c r="C5" s="106"/>
      <c r="D5" s="105"/>
      <c r="E5" s="105"/>
      <c r="F5" s="105" t="s">
        <v>468</v>
      </c>
      <c r="G5" s="105"/>
      <c r="H5" s="105"/>
      <c r="I5" s="105"/>
      <c r="J5" s="105"/>
      <c r="K5" s="105"/>
      <c r="L5" s="105"/>
      <c r="M5" s="105"/>
      <c r="N5" s="105"/>
    </row>
    <row r="6" spans="1:16" x14ac:dyDescent="0.25">
      <c r="A6" s="105"/>
      <c r="B6" s="105"/>
      <c r="C6" s="106"/>
      <c r="D6" s="105"/>
      <c r="E6" s="105"/>
      <c r="F6" s="105"/>
      <c r="G6" s="105"/>
      <c r="H6" s="105"/>
      <c r="I6" s="105"/>
      <c r="J6" s="105"/>
      <c r="K6" s="105"/>
      <c r="L6" s="105"/>
      <c r="M6" s="105"/>
      <c r="N6" s="105"/>
    </row>
    <row r="7" spans="1:16" ht="18.75" x14ac:dyDescent="0.3">
      <c r="A7" s="105"/>
      <c r="B7" s="105"/>
      <c r="C7" s="106"/>
      <c r="D7" s="105"/>
      <c r="E7" s="108" t="s">
        <v>140</v>
      </c>
      <c r="F7" s="108"/>
      <c r="G7" s="109"/>
      <c r="H7" s="729" t="s">
        <v>141</v>
      </c>
      <c r="I7" s="729"/>
      <c r="J7" s="105"/>
      <c r="K7" s="105"/>
      <c r="L7" s="105"/>
      <c r="M7" s="105"/>
      <c r="N7" s="105"/>
    </row>
    <row r="8" spans="1:16" ht="19.5" thickBot="1" x14ac:dyDescent="0.35">
      <c r="A8" s="105"/>
      <c r="B8" s="105"/>
      <c r="C8" s="106"/>
      <c r="D8" s="105"/>
      <c r="E8" s="105"/>
      <c r="F8" s="105"/>
      <c r="G8" s="105"/>
      <c r="H8" s="729" t="s">
        <v>142</v>
      </c>
      <c r="I8" s="729"/>
      <c r="J8" s="105"/>
      <c r="K8" s="105"/>
      <c r="L8" s="105"/>
      <c r="M8" s="105"/>
      <c r="N8" s="105"/>
    </row>
    <row r="9" spans="1:16" ht="15.75" thickBot="1" x14ac:dyDescent="0.3">
      <c r="A9" s="105"/>
      <c r="B9" s="105"/>
      <c r="C9" s="106"/>
      <c r="D9" s="105"/>
      <c r="E9" s="105"/>
      <c r="F9" s="442">
        <f>VLOOKUP(D33,A29:C56,2,FALSE)</f>
        <v>20</v>
      </c>
      <c r="G9" s="110"/>
      <c r="H9" s="110"/>
      <c r="I9" s="238">
        <f>VLOOKUP(D33,A29:C56,3,FALSE)</f>
        <v>0</v>
      </c>
      <c r="J9" s="105"/>
      <c r="K9" s="105"/>
      <c r="L9" s="105"/>
      <c r="M9" s="105"/>
      <c r="N9" s="105"/>
    </row>
    <row r="10" spans="1:16" x14ac:dyDescent="0.25">
      <c r="A10" s="105"/>
      <c r="B10" s="105"/>
      <c r="C10" s="106"/>
      <c r="D10" s="105"/>
      <c r="E10" s="105"/>
      <c r="F10" s="105"/>
      <c r="G10" s="105"/>
      <c r="H10" s="105"/>
      <c r="I10" s="105"/>
      <c r="J10" s="105"/>
      <c r="K10" s="105"/>
      <c r="L10" s="105"/>
      <c r="M10" s="105"/>
      <c r="N10" s="105"/>
    </row>
    <row r="11" spans="1:16" ht="15.75" thickBot="1" x14ac:dyDescent="0.3">
      <c r="A11" s="105"/>
      <c r="B11" s="105"/>
      <c r="C11" s="106"/>
      <c r="D11" s="105"/>
      <c r="E11" s="105"/>
      <c r="F11" s="105"/>
      <c r="G11" s="105"/>
      <c r="H11" s="105"/>
      <c r="I11" s="105"/>
      <c r="J11" s="105"/>
      <c r="K11" s="105"/>
      <c r="L11" s="105"/>
      <c r="M11" s="105"/>
      <c r="N11" s="105"/>
    </row>
    <row r="12" spans="1:16" ht="15.75" thickBot="1" x14ac:dyDescent="0.3">
      <c r="A12" s="105"/>
      <c r="B12" s="105"/>
      <c r="C12" s="106"/>
      <c r="D12" s="105"/>
      <c r="E12" s="730" t="s">
        <v>144</v>
      </c>
      <c r="F12" s="731"/>
      <c r="G12" s="732"/>
      <c r="H12" s="105"/>
      <c r="I12" s="112"/>
      <c r="J12" s="105"/>
      <c r="K12" s="105"/>
      <c r="L12" s="105"/>
      <c r="M12" s="105"/>
      <c r="N12" s="105"/>
    </row>
    <row r="13" spans="1:16" ht="15.75" thickBot="1" x14ac:dyDescent="0.3">
      <c r="A13" s="105"/>
      <c r="B13" s="105"/>
      <c r="C13" s="106"/>
      <c r="D13" s="105"/>
      <c r="E13" s="105"/>
      <c r="F13" s="105"/>
      <c r="G13" s="105"/>
      <c r="H13" s="105"/>
      <c r="I13" s="105"/>
      <c r="J13" s="105"/>
      <c r="K13" s="105"/>
      <c r="L13" s="105"/>
      <c r="M13" s="105"/>
      <c r="N13" s="105"/>
      <c r="O13" s="105"/>
      <c r="P13" s="105"/>
    </row>
    <row r="14" spans="1:16" ht="19.5" thickBot="1" x14ac:dyDescent="0.35">
      <c r="A14" s="105"/>
      <c r="B14" s="105"/>
      <c r="C14" s="106"/>
      <c r="D14" s="105"/>
      <c r="E14" s="111" t="s">
        <v>277</v>
      </c>
      <c r="F14" s="387">
        <f>F2+I9</f>
        <v>1002</v>
      </c>
      <c r="G14" s="105"/>
      <c r="H14" s="113"/>
      <c r="I14" s="105"/>
      <c r="J14" s="105"/>
      <c r="K14" s="105"/>
      <c r="L14" s="105"/>
      <c r="M14" s="105"/>
      <c r="N14" s="105"/>
    </row>
    <row r="15" spans="1:16" x14ac:dyDescent="0.25">
      <c r="A15" s="105"/>
      <c r="B15" s="105"/>
      <c r="C15" s="106"/>
      <c r="D15" s="105"/>
      <c r="E15" s="105"/>
      <c r="F15" s="105"/>
      <c r="G15" s="105"/>
      <c r="H15" s="105"/>
      <c r="I15" s="105"/>
      <c r="J15" s="105"/>
      <c r="K15" s="105"/>
      <c r="L15" s="105"/>
      <c r="M15" s="105"/>
      <c r="N15" s="105"/>
    </row>
    <row r="16" spans="1:16" ht="18.75" x14ac:dyDescent="0.3">
      <c r="A16" s="105"/>
      <c r="B16" s="105"/>
      <c r="C16" s="106"/>
      <c r="D16" s="105"/>
      <c r="E16" s="111"/>
      <c r="F16" s="105"/>
      <c r="G16" s="105"/>
      <c r="H16" s="105"/>
      <c r="I16" s="105"/>
      <c r="J16" s="105"/>
      <c r="K16" s="105"/>
      <c r="L16" s="105"/>
      <c r="M16" s="105"/>
      <c r="N16" s="105"/>
    </row>
    <row r="17" spans="1:16" x14ac:dyDescent="0.25">
      <c r="A17" s="105"/>
      <c r="B17" s="105"/>
      <c r="C17" s="106"/>
      <c r="D17" s="105"/>
      <c r="E17" s="105"/>
      <c r="F17" s="105"/>
      <c r="G17" s="105"/>
      <c r="H17" s="105"/>
      <c r="I17" s="105"/>
      <c r="J17" s="105"/>
      <c r="K17" s="105"/>
      <c r="L17" s="105"/>
      <c r="M17" s="105"/>
      <c r="N17" s="105"/>
      <c r="O17" s="102"/>
    </row>
    <row r="18" spans="1:16" ht="21" customHeight="1" x14ac:dyDescent="0.25">
      <c r="A18" s="105"/>
      <c r="B18" s="105"/>
      <c r="C18" s="106"/>
      <c r="D18" s="105"/>
      <c r="E18" s="105"/>
      <c r="F18" s="105"/>
      <c r="G18" s="105"/>
      <c r="H18" s="105"/>
      <c r="I18" s="105"/>
      <c r="J18" s="105"/>
      <c r="K18" s="105"/>
      <c r="L18" s="105"/>
      <c r="M18" s="105"/>
      <c r="N18" s="105"/>
      <c r="O18" s="102"/>
      <c r="P18" s="102"/>
    </row>
    <row r="19" spans="1:16" ht="83.25" customHeight="1" x14ac:dyDescent="0.25">
      <c r="A19" s="105"/>
      <c r="B19" s="105"/>
      <c r="C19" s="106"/>
      <c r="D19" s="105"/>
      <c r="E19" s="105"/>
      <c r="F19" s="105"/>
      <c r="G19" s="105"/>
      <c r="H19" s="105"/>
      <c r="I19" s="105"/>
      <c r="J19" s="105"/>
      <c r="K19" s="105"/>
      <c r="L19" s="105"/>
      <c r="M19" s="105"/>
      <c r="N19" s="105"/>
      <c r="O19" s="102"/>
      <c r="P19" s="102"/>
    </row>
    <row r="25" spans="1:16" ht="19.5" customHeight="1" x14ac:dyDescent="0.25"/>
    <row r="28" spans="1:16" x14ac:dyDescent="0.25">
      <c r="I28" s="99"/>
      <c r="J28" s="99"/>
      <c r="K28" s="99"/>
      <c r="L28" s="99"/>
      <c r="M28" s="99"/>
      <c r="N28" s="99"/>
    </row>
    <row r="29" spans="1:16" ht="23.25" x14ac:dyDescent="0.35">
      <c r="A29" s="104">
        <v>3</v>
      </c>
      <c r="B29">
        <v>3</v>
      </c>
      <c r="C29" s="98" t="s">
        <v>699</v>
      </c>
      <c r="I29" s="99"/>
      <c r="J29" s="99"/>
      <c r="K29" s="99"/>
      <c r="L29" s="99"/>
      <c r="M29" s="99"/>
      <c r="N29" s="99"/>
    </row>
    <row r="30" spans="1:16" ht="23.25" x14ac:dyDescent="0.35">
      <c r="A30" s="104">
        <v>4</v>
      </c>
      <c r="B30">
        <v>4</v>
      </c>
      <c r="C30" s="98" t="s">
        <v>700</v>
      </c>
      <c r="I30" s="100"/>
      <c r="J30" s="101"/>
      <c r="K30" s="101"/>
      <c r="L30" s="101"/>
      <c r="M30" s="101"/>
      <c r="N30" s="101"/>
    </row>
    <row r="31" spans="1:16" ht="23.25" x14ac:dyDescent="0.35">
      <c r="A31" s="104">
        <v>5</v>
      </c>
      <c r="B31">
        <v>5</v>
      </c>
      <c r="C31" s="98" t="s">
        <v>700</v>
      </c>
      <c r="I31" s="100"/>
      <c r="J31" s="101"/>
      <c r="K31" s="101"/>
      <c r="L31" s="101"/>
      <c r="M31" s="101"/>
      <c r="N31" s="101"/>
    </row>
    <row r="32" spans="1:16" ht="23.25" x14ac:dyDescent="0.35">
      <c r="A32" s="104">
        <v>6</v>
      </c>
      <c r="B32">
        <v>6</v>
      </c>
      <c r="C32" s="98" t="s">
        <v>698</v>
      </c>
      <c r="E32" s="440" t="s">
        <v>139</v>
      </c>
      <c r="I32" s="100"/>
      <c r="J32" s="101"/>
      <c r="K32" s="101"/>
      <c r="L32" s="101"/>
      <c r="M32" s="101"/>
      <c r="N32" s="101"/>
    </row>
    <row r="33" spans="1:14" ht="23.25" x14ac:dyDescent="0.35">
      <c r="A33" s="104">
        <v>7</v>
      </c>
      <c r="B33">
        <v>7</v>
      </c>
      <c r="C33" s="98" t="s">
        <v>698</v>
      </c>
      <c r="D33" s="441">
        <v>20</v>
      </c>
      <c r="K33" s="101"/>
      <c r="L33" s="101"/>
      <c r="M33" s="101"/>
      <c r="N33" s="101"/>
    </row>
    <row r="34" spans="1:14" ht="23.25" x14ac:dyDescent="0.35">
      <c r="A34" s="104">
        <v>8</v>
      </c>
      <c r="B34">
        <v>8</v>
      </c>
      <c r="C34" s="98" t="s">
        <v>701</v>
      </c>
      <c r="I34" s="100"/>
      <c r="J34" s="101"/>
      <c r="K34" s="101"/>
      <c r="L34" s="101"/>
      <c r="M34" s="101"/>
      <c r="N34" s="101"/>
    </row>
    <row r="35" spans="1:14" ht="23.25" x14ac:dyDescent="0.35">
      <c r="A35" s="104">
        <v>9</v>
      </c>
      <c r="B35">
        <v>9</v>
      </c>
      <c r="C35" s="98" t="s">
        <v>701</v>
      </c>
      <c r="I35" s="100"/>
      <c r="J35" s="101"/>
      <c r="K35" s="101"/>
      <c r="L35" s="101"/>
      <c r="M35" s="101"/>
      <c r="N35" s="101"/>
    </row>
    <row r="36" spans="1:14" ht="23.25" x14ac:dyDescent="0.35">
      <c r="A36" s="104">
        <v>10</v>
      </c>
      <c r="B36">
        <v>10</v>
      </c>
      <c r="C36" s="98" t="s">
        <v>702</v>
      </c>
      <c r="I36" s="100"/>
      <c r="J36" s="101"/>
      <c r="K36" s="101"/>
      <c r="L36" s="101"/>
      <c r="M36" s="101"/>
      <c r="N36" s="101"/>
    </row>
    <row r="37" spans="1:14" ht="23.25" x14ac:dyDescent="0.35">
      <c r="A37" s="104">
        <v>11</v>
      </c>
      <c r="B37">
        <v>11</v>
      </c>
      <c r="C37" s="98" t="s">
        <v>467</v>
      </c>
      <c r="I37" s="100"/>
      <c r="J37" s="101"/>
      <c r="K37" s="101"/>
      <c r="L37" s="101"/>
      <c r="M37" s="101"/>
      <c r="N37" s="101"/>
    </row>
    <row r="38" spans="1:14" ht="23.25" x14ac:dyDescent="0.35">
      <c r="A38" s="104">
        <v>12</v>
      </c>
      <c r="B38">
        <v>12</v>
      </c>
      <c r="C38" s="98" t="s">
        <v>703</v>
      </c>
      <c r="I38" s="100"/>
      <c r="J38" s="101"/>
      <c r="K38" s="101"/>
      <c r="L38" s="101"/>
      <c r="M38" s="101"/>
      <c r="N38" s="101"/>
    </row>
    <row r="39" spans="1:14" ht="23.25" x14ac:dyDescent="0.35">
      <c r="A39" s="104">
        <v>13</v>
      </c>
      <c r="B39">
        <v>13</v>
      </c>
      <c r="C39" s="98" t="s">
        <v>704</v>
      </c>
      <c r="I39" s="99"/>
      <c r="J39" s="99"/>
      <c r="K39" s="99"/>
      <c r="L39" s="99"/>
      <c r="M39" s="99"/>
      <c r="N39" s="99"/>
    </row>
    <row r="40" spans="1:14" ht="23.25" x14ac:dyDescent="0.35">
      <c r="A40" s="104">
        <v>14</v>
      </c>
      <c r="B40">
        <v>14</v>
      </c>
      <c r="C40" s="98" t="s">
        <v>466</v>
      </c>
      <c r="I40" s="99"/>
      <c r="J40" s="99"/>
      <c r="K40" s="99"/>
      <c r="L40" s="99"/>
      <c r="M40" s="99"/>
      <c r="N40" s="99"/>
    </row>
    <row r="41" spans="1:14" ht="23.25" x14ac:dyDescent="0.35">
      <c r="A41" s="104">
        <v>15</v>
      </c>
      <c r="B41">
        <v>15</v>
      </c>
      <c r="C41" s="98" t="s">
        <v>465</v>
      </c>
    </row>
    <row r="42" spans="1:14" ht="23.25" x14ac:dyDescent="0.35">
      <c r="A42" s="104">
        <v>16</v>
      </c>
      <c r="B42">
        <v>16</v>
      </c>
      <c r="C42" s="98" t="s">
        <v>705</v>
      </c>
    </row>
    <row r="43" spans="1:14" ht="23.25" x14ac:dyDescent="0.35">
      <c r="A43" s="104">
        <v>17</v>
      </c>
      <c r="B43">
        <v>17</v>
      </c>
      <c r="C43" s="98" t="s">
        <v>706</v>
      </c>
    </row>
    <row r="44" spans="1:14" ht="23.25" x14ac:dyDescent="0.35">
      <c r="A44" s="104">
        <v>18</v>
      </c>
      <c r="B44">
        <v>18</v>
      </c>
      <c r="C44" s="98" t="s">
        <v>464</v>
      </c>
    </row>
    <row r="45" spans="1:14" ht="23.25" x14ac:dyDescent="0.35">
      <c r="A45" s="104">
        <v>19</v>
      </c>
      <c r="B45">
        <v>19</v>
      </c>
      <c r="C45" s="98" t="s">
        <v>463</v>
      </c>
      <c r="D45">
        <v>0.49</v>
      </c>
    </row>
    <row r="46" spans="1:14" ht="23.25" x14ac:dyDescent="0.35">
      <c r="A46" s="104">
        <v>20</v>
      </c>
      <c r="B46">
        <v>20</v>
      </c>
      <c r="C46" s="98">
        <v>0</v>
      </c>
    </row>
    <row r="47" spans="1:14" ht="23.25" x14ac:dyDescent="0.35">
      <c r="A47" s="104">
        <v>21</v>
      </c>
      <c r="B47">
        <v>21</v>
      </c>
      <c r="C47" s="98" t="s">
        <v>458</v>
      </c>
    </row>
    <row r="48" spans="1:14" ht="23.25" x14ac:dyDescent="0.35">
      <c r="A48" s="104">
        <v>22</v>
      </c>
      <c r="B48">
        <v>22</v>
      </c>
      <c r="C48" s="98" t="s">
        <v>459</v>
      </c>
    </row>
    <row r="49" spans="1:3" ht="23.25" x14ac:dyDescent="0.35">
      <c r="A49" s="104">
        <v>23</v>
      </c>
      <c r="B49">
        <v>23</v>
      </c>
      <c r="C49" s="98" t="s">
        <v>707</v>
      </c>
    </row>
    <row r="50" spans="1:3" ht="23.25" x14ac:dyDescent="0.35">
      <c r="A50" s="104">
        <v>24</v>
      </c>
      <c r="B50">
        <v>24</v>
      </c>
      <c r="C50" s="98" t="s">
        <v>462</v>
      </c>
    </row>
    <row r="51" spans="1:3" ht="23.25" x14ac:dyDescent="0.35">
      <c r="A51" s="104">
        <v>25</v>
      </c>
      <c r="B51">
        <v>25</v>
      </c>
      <c r="C51" s="98" t="s">
        <v>461</v>
      </c>
    </row>
    <row r="52" spans="1:3" ht="23.25" x14ac:dyDescent="0.35">
      <c r="A52" s="104">
        <v>26</v>
      </c>
      <c r="B52">
        <v>26</v>
      </c>
      <c r="C52" s="98" t="s">
        <v>460</v>
      </c>
    </row>
    <row r="53" spans="1:3" ht="23.25" x14ac:dyDescent="0.35">
      <c r="A53" s="104">
        <v>27</v>
      </c>
      <c r="B53">
        <v>27</v>
      </c>
      <c r="C53" s="98" t="s">
        <v>708</v>
      </c>
    </row>
    <row r="54" spans="1:3" ht="23.25" x14ac:dyDescent="0.35">
      <c r="A54" s="104">
        <v>28</v>
      </c>
      <c r="B54">
        <v>28</v>
      </c>
      <c r="C54" s="98" t="s">
        <v>709</v>
      </c>
    </row>
    <row r="55" spans="1:3" ht="23.25" x14ac:dyDescent="0.35">
      <c r="A55" s="104">
        <v>29</v>
      </c>
      <c r="B55">
        <v>29</v>
      </c>
      <c r="C55" s="98" t="s">
        <v>710</v>
      </c>
    </row>
    <row r="56" spans="1:3" ht="23.25" x14ac:dyDescent="0.35">
      <c r="A56" s="104">
        <v>30</v>
      </c>
      <c r="B56">
        <v>30</v>
      </c>
      <c r="C56" s="98" t="s">
        <v>711</v>
      </c>
    </row>
  </sheetData>
  <sheetProtection password="CC70" sheet="1" objects="1" scenarios="1" selectLockedCells="1"/>
  <mergeCells count="3">
    <mergeCell ref="H7:I7"/>
    <mergeCell ref="H8:I8"/>
    <mergeCell ref="E12:G12"/>
  </mergeCells>
  <pageMargins left="0.7" right="0.7" top="0.75" bottom="0.75" header="0.3" footer="0.3"/>
  <pageSetup paperSize="9" orientation="landscape" horizontalDpi="4294967293" verticalDpi="0" r:id="rId1"/>
  <headerFooter>
    <oddFooter>&amp;C&amp;F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Drop Down 2">
              <controlPr locked="0" defaultSize="0" autoLine="0" autoPict="0">
                <anchor moveWithCells="1">
                  <from>
                    <xdr:col>4</xdr:col>
                    <xdr:colOff>885825</xdr:colOff>
                    <xdr:row>7</xdr:row>
                    <xdr:rowOff>190500</xdr:rowOff>
                  </from>
                  <to>
                    <xdr:col>6</xdr:col>
                    <xdr:colOff>219075</xdr:colOff>
                    <xdr:row>9</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110" zoomScaleNormal="110" workbookViewId="0">
      <pane xSplit="19" ySplit="25" topLeftCell="T54" activePane="bottomRight" state="frozenSplit"/>
      <selection pane="topRight" activeCell="R1" sqref="R1"/>
      <selection pane="bottomLeft" activeCell="A26" sqref="A26"/>
      <selection pane="bottomRight" activeCell="E5" sqref="E5"/>
    </sheetView>
  </sheetViews>
  <sheetFormatPr baseColWidth="10" defaultRowHeight="15" x14ac:dyDescent="0.25"/>
  <cols>
    <col min="1" max="1" width="3.85546875" style="157" customWidth="1"/>
    <col min="2" max="2" width="26.28515625" style="136" customWidth="1"/>
    <col min="3" max="3" width="7" style="1" customWidth="1"/>
    <col min="4" max="4" width="2.140625" style="136" customWidth="1"/>
    <col min="5" max="5" width="7.85546875" style="137" customWidth="1"/>
    <col min="6" max="6" width="15.7109375" style="136" customWidth="1"/>
    <col min="7" max="7" width="5.140625" style="158" customWidth="1"/>
    <col min="8" max="8" width="6.5703125" style="136" customWidth="1"/>
    <col min="9" max="12" width="11.42578125" style="136"/>
    <col min="13" max="13" width="12.7109375" style="136" customWidth="1"/>
    <col min="14" max="14" width="5.85546875" style="136" customWidth="1"/>
    <col min="15" max="16" width="11.42578125" style="136"/>
    <col min="17" max="18" width="11.85546875" style="136" customWidth="1"/>
    <col min="19" max="19" width="12.7109375" style="136" customWidth="1"/>
    <col min="20" max="16384" width="11.42578125" style="136"/>
  </cols>
  <sheetData>
    <row r="1" spans="1:22" x14ac:dyDescent="0.25">
      <c r="A1" s="38"/>
      <c r="B1" s="38"/>
      <c r="C1" s="143"/>
      <c r="D1" s="38"/>
      <c r="E1" s="37"/>
      <c r="F1" s="38"/>
      <c r="G1" s="143"/>
      <c r="H1" s="38"/>
      <c r="I1" s="38"/>
      <c r="J1" s="38"/>
      <c r="K1" s="38"/>
      <c r="L1" s="38"/>
      <c r="M1" s="38"/>
      <c r="N1" s="38"/>
      <c r="O1" s="38"/>
      <c r="P1" s="38"/>
      <c r="Q1" s="38"/>
      <c r="R1" s="38"/>
      <c r="S1" s="38"/>
      <c r="T1" s="38"/>
      <c r="U1" s="38"/>
      <c r="V1" s="38"/>
    </row>
    <row r="2" spans="1:22" x14ac:dyDescent="0.25">
      <c r="A2" s="38"/>
      <c r="B2" s="38"/>
      <c r="C2" s="143"/>
      <c r="D2" s="38"/>
      <c r="E2" s="37"/>
      <c r="F2" s="38"/>
      <c r="G2" s="143"/>
      <c r="H2" s="38"/>
      <c r="I2" s="38"/>
      <c r="J2" s="38"/>
      <c r="K2" s="38"/>
      <c r="L2" s="38"/>
      <c r="M2" s="38"/>
      <c r="N2" s="38"/>
      <c r="O2" s="38"/>
      <c r="P2" s="38"/>
      <c r="Q2" s="38"/>
      <c r="R2" s="38"/>
      <c r="S2" s="38"/>
      <c r="T2" s="38"/>
      <c r="U2" s="38"/>
      <c r="V2" s="38"/>
    </row>
    <row r="3" spans="1:22" ht="11.25" customHeight="1" thickBot="1" x14ac:dyDescent="0.3">
      <c r="A3" s="38"/>
      <c r="B3" s="38"/>
      <c r="C3" s="143"/>
      <c r="D3" s="38"/>
      <c r="E3" s="37"/>
      <c r="F3" s="38"/>
      <c r="G3" s="143"/>
      <c r="H3" s="38"/>
      <c r="I3" s="38"/>
      <c r="J3" s="38"/>
      <c r="K3" s="38"/>
      <c r="L3" s="38"/>
      <c r="M3" s="38"/>
      <c r="N3" s="38"/>
      <c r="O3" s="38"/>
      <c r="P3" s="38"/>
      <c r="Q3" s="38"/>
      <c r="R3" s="38"/>
      <c r="S3" s="38"/>
      <c r="T3" s="38"/>
      <c r="U3" s="38"/>
      <c r="V3" s="38"/>
    </row>
    <row r="4" spans="1:22" ht="29.25" customHeight="1" thickBot="1" x14ac:dyDescent="0.3">
      <c r="A4" s="38"/>
      <c r="B4" s="38"/>
      <c r="C4" s="144" t="s">
        <v>214</v>
      </c>
      <c r="D4" s="38"/>
      <c r="E4" s="398">
        <v>0.75</v>
      </c>
      <c r="F4" s="145" t="s">
        <v>37</v>
      </c>
      <c r="G4" s="143"/>
      <c r="H4" s="38"/>
      <c r="I4" s="38"/>
      <c r="J4" s="38"/>
      <c r="K4" s="38"/>
      <c r="L4" s="38"/>
      <c r="M4" s="38"/>
      <c r="N4" s="38"/>
      <c r="O4" s="38"/>
      <c r="P4" s="38"/>
      <c r="Q4" s="38"/>
      <c r="R4" s="38"/>
      <c r="S4" s="38"/>
      <c r="T4" s="38"/>
      <c r="U4" s="38"/>
      <c r="V4" s="38"/>
    </row>
    <row r="5" spans="1:22" ht="21" x14ac:dyDescent="0.35">
      <c r="A5" s="38"/>
      <c r="B5" s="146" t="s">
        <v>215</v>
      </c>
      <c r="C5" s="143"/>
      <c r="D5" s="38"/>
      <c r="E5" s="37"/>
      <c r="F5" s="38"/>
      <c r="G5" s="143"/>
      <c r="H5" s="38"/>
      <c r="I5" s="38"/>
      <c r="J5" s="38"/>
      <c r="K5" s="38"/>
      <c r="L5" s="38"/>
      <c r="M5" s="38"/>
      <c r="N5" s="38"/>
      <c r="O5" s="38"/>
      <c r="P5" s="38"/>
      <c r="Q5" s="38"/>
      <c r="R5" s="38"/>
      <c r="S5" s="38"/>
      <c r="T5" s="38"/>
      <c r="U5" s="38"/>
      <c r="V5" s="38"/>
    </row>
    <row r="6" spans="1:22" ht="21" x14ac:dyDescent="0.35">
      <c r="A6" s="38"/>
      <c r="B6" s="146" t="s">
        <v>216</v>
      </c>
      <c r="C6" s="38" t="s">
        <v>244</v>
      </c>
      <c r="D6" s="38"/>
      <c r="E6" s="37"/>
      <c r="F6" s="38"/>
      <c r="G6" s="143"/>
      <c r="H6" s="40" t="s">
        <v>217</v>
      </c>
      <c r="I6" s="38"/>
      <c r="J6" s="38"/>
      <c r="K6" s="38"/>
      <c r="L6" s="38"/>
      <c r="M6" s="38"/>
      <c r="N6" s="38"/>
      <c r="O6" s="38"/>
      <c r="P6" s="38"/>
      <c r="Q6" s="38"/>
      <c r="R6" s="38"/>
      <c r="S6" s="38"/>
      <c r="T6" s="38"/>
      <c r="U6" s="38"/>
      <c r="V6" s="38"/>
    </row>
    <row r="7" spans="1:22" ht="8.25" customHeight="1" x14ac:dyDescent="0.25">
      <c r="A7" s="38"/>
      <c r="B7" s="38"/>
      <c r="C7" s="143"/>
      <c r="D7" s="38"/>
      <c r="E7" s="37"/>
      <c r="F7" s="38"/>
      <c r="G7" s="143"/>
      <c r="H7" s="38"/>
      <c r="I7" s="38"/>
      <c r="J7" s="38"/>
      <c r="K7" s="38"/>
      <c r="L7" s="38"/>
      <c r="M7" s="38"/>
      <c r="N7" s="38"/>
      <c r="O7" s="38"/>
      <c r="P7" s="38"/>
      <c r="Q7" s="38"/>
      <c r="R7" s="38"/>
      <c r="S7" s="38"/>
      <c r="T7" s="38"/>
      <c r="U7" s="38"/>
      <c r="V7" s="38"/>
    </row>
    <row r="8" spans="1:22" ht="19.5" thickBot="1" x14ac:dyDescent="0.35">
      <c r="A8" s="38"/>
      <c r="B8" s="203" t="s">
        <v>218</v>
      </c>
      <c r="C8" s="143"/>
      <c r="D8" s="38"/>
      <c r="E8" s="37"/>
      <c r="F8" s="38"/>
      <c r="G8" s="143"/>
      <c r="H8" s="40" t="s">
        <v>219</v>
      </c>
      <c r="I8" s="38"/>
      <c r="J8" s="38"/>
      <c r="K8" s="38"/>
      <c r="L8" s="38"/>
      <c r="M8" s="38"/>
      <c r="N8" s="38"/>
      <c r="O8" s="38"/>
      <c r="P8" s="38"/>
      <c r="Q8" s="38"/>
      <c r="R8" s="38"/>
      <c r="S8" s="38"/>
      <c r="T8" s="38"/>
      <c r="U8" s="38"/>
      <c r="V8" s="38"/>
    </row>
    <row r="9" spans="1:22" ht="24" customHeight="1" thickBot="1" x14ac:dyDescent="0.3">
      <c r="A9" s="38"/>
      <c r="B9" s="147" t="s">
        <v>220</v>
      </c>
      <c r="C9" s="148">
        <v>0.05</v>
      </c>
      <c r="D9" s="38"/>
      <c r="E9" s="472">
        <f>E4*C9</f>
        <v>3.7500000000000006E-2</v>
      </c>
      <c r="F9" s="116" t="s">
        <v>221</v>
      </c>
      <c r="G9" s="204">
        <f>E4*C9*20</f>
        <v>0.75000000000000011</v>
      </c>
      <c r="H9" s="38" t="s">
        <v>245</v>
      </c>
      <c r="I9" s="38"/>
      <c r="J9" s="38"/>
      <c r="K9" s="38"/>
      <c r="L9" s="38"/>
      <c r="M9" s="38"/>
      <c r="N9" s="38"/>
      <c r="O9" s="38"/>
      <c r="P9" s="38"/>
      <c r="Q9" s="38"/>
      <c r="R9" s="38"/>
      <c r="S9" s="38"/>
      <c r="T9" s="38"/>
      <c r="U9" s="38"/>
      <c r="V9" s="38"/>
    </row>
    <row r="10" spans="1:22" s="157" customFormat="1" x14ac:dyDescent="0.25">
      <c r="A10" s="38"/>
      <c r="B10" s="149" t="s">
        <v>222</v>
      </c>
      <c r="C10" s="150">
        <v>0.03</v>
      </c>
      <c r="D10" s="38"/>
      <c r="E10" s="472">
        <f>E4*C10</f>
        <v>2.2499999999999999E-2</v>
      </c>
      <c r="F10" s="116" t="s">
        <v>221</v>
      </c>
      <c r="G10" s="204">
        <f>E4*C10*33.3</f>
        <v>0.74924999999999986</v>
      </c>
      <c r="H10" s="38" t="s">
        <v>245</v>
      </c>
      <c r="I10" s="38" t="s">
        <v>211</v>
      </c>
      <c r="J10" s="38"/>
      <c r="K10" s="38"/>
      <c r="L10" s="38"/>
      <c r="M10" s="38"/>
      <c r="N10" s="38"/>
      <c r="O10" s="38"/>
      <c r="P10" s="38"/>
      <c r="Q10" s="38"/>
      <c r="R10" s="38"/>
      <c r="S10" s="38"/>
      <c r="T10" s="38"/>
      <c r="U10" s="38"/>
      <c r="V10" s="38"/>
    </row>
    <row r="11" spans="1:22" ht="15.75" thickBot="1" x14ac:dyDescent="0.3">
      <c r="A11" s="38"/>
      <c r="B11" s="149" t="s">
        <v>224</v>
      </c>
      <c r="C11" s="150">
        <v>0.25</v>
      </c>
      <c r="D11" s="38"/>
      <c r="E11" s="472">
        <f>E4*C11</f>
        <v>0.1875</v>
      </c>
      <c r="F11" s="116" t="s">
        <v>221</v>
      </c>
      <c r="G11" s="205">
        <f>E4*C11*4</f>
        <v>0.75</v>
      </c>
      <c r="H11" s="38" t="s">
        <v>245</v>
      </c>
      <c r="I11" s="38" t="s">
        <v>211</v>
      </c>
      <c r="J11" s="38"/>
      <c r="K11" s="38"/>
      <c r="L11" s="38"/>
      <c r="M11" s="38"/>
      <c r="N11" s="38"/>
      <c r="O11" s="38"/>
      <c r="P11" s="38"/>
      <c r="Q11" s="38"/>
      <c r="R11" s="38"/>
      <c r="S11" s="38"/>
      <c r="T11" s="38"/>
      <c r="U11" s="38"/>
      <c r="V11" s="38"/>
    </row>
    <row r="12" spans="1:22" ht="9.75" customHeight="1" x14ac:dyDescent="0.25">
      <c r="A12" s="38"/>
      <c r="B12" s="38"/>
      <c r="C12" s="143"/>
      <c r="D12" s="38"/>
      <c r="E12" s="37"/>
      <c r="F12" s="116"/>
      <c r="G12" s="143"/>
      <c r="H12" s="38"/>
      <c r="I12" s="734" t="s">
        <v>405</v>
      </c>
      <c r="J12" s="734"/>
      <c r="K12" s="734"/>
      <c r="L12" s="734"/>
      <c r="M12" s="734"/>
      <c r="N12" s="38"/>
      <c r="O12" s="38"/>
      <c r="P12" s="38"/>
      <c r="Q12" s="38"/>
      <c r="R12" s="38"/>
      <c r="S12" s="38"/>
      <c r="T12" s="38"/>
      <c r="U12" s="38"/>
      <c r="V12" s="38"/>
    </row>
    <row r="13" spans="1:22" ht="6.75" customHeight="1" x14ac:dyDescent="0.25">
      <c r="A13" s="38"/>
      <c r="B13" s="38"/>
      <c r="C13" s="143"/>
      <c r="D13" s="38"/>
      <c r="E13" s="37"/>
      <c r="F13" s="116"/>
      <c r="G13" s="143"/>
      <c r="H13" s="38"/>
      <c r="I13" s="734"/>
      <c r="J13" s="734"/>
      <c r="K13" s="734"/>
      <c r="L13" s="734"/>
      <c r="M13" s="734"/>
      <c r="N13" s="38"/>
      <c r="O13" s="38"/>
      <c r="P13" s="38"/>
      <c r="Q13" s="38"/>
      <c r="R13" s="38"/>
      <c r="S13" s="38"/>
      <c r="T13" s="38"/>
      <c r="U13" s="38"/>
      <c r="V13" s="38"/>
    </row>
    <row r="14" spans="1:22" ht="15.75" thickBot="1" x14ac:dyDescent="0.3">
      <c r="A14" s="38"/>
      <c r="B14" s="151" t="s">
        <v>223</v>
      </c>
      <c r="C14" s="143"/>
      <c r="D14" s="38"/>
      <c r="E14" s="37"/>
      <c r="F14" s="116"/>
      <c r="G14" s="143"/>
      <c r="H14" s="38"/>
      <c r="I14" s="734"/>
      <c r="J14" s="734"/>
      <c r="K14" s="734"/>
      <c r="L14" s="734"/>
      <c r="M14" s="734"/>
      <c r="N14" s="38"/>
      <c r="O14" s="38"/>
      <c r="P14" s="38"/>
      <c r="Q14" s="38"/>
      <c r="R14" s="38"/>
      <c r="S14" s="38"/>
      <c r="T14" s="38"/>
      <c r="U14" s="38"/>
      <c r="V14" s="38"/>
    </row>
    <row r="15" spans="1:22" ht="19.5" customHeight="1" thickBot="1" x14ac:dyDescent="0.3">
      <c r="A15" s="38"/>
      <c r="B15" s="147" t="s">
        <v>220</v>
      </c>
      <c r="C15" s="148">
        <v>0.1</v>
      </c>
      <c r="D15" s="38"/>
      <c r="E15" s="472">
        <f>E4*C15</f>
        <v>7.5000000000000011E-2</v>
      </c>
      <c r="F15" s="116" t="s">
        <v>221</v>
      </c>
      <c r="G15" s="204">
        <f>E10*C15*665</f>
        <v>1.4962499999999999</v>
      </c>
      <c r="H15" s="38" t="s">
        <v>245</v>
      </c>
      <c r="I15" s="734"/>
      <c r="J15" s="734"/>
      <c r="K15" s="734"/>
      <c r="L15" s="734"/>
      <c r="M15" s="734"/>
      <c r="N15" s="38"/>
      <c r="O15" s="38"/>
      <c r="P15" s="38"/>
      <c r="Q15" s="38"/>
      <c r="R15" s="38"/>
      <c r="S15" s="38"/>
      <c r="T15" s="38"/>
      <c r="U15" s="38"/>
      <c r="V15" s="38"/>
    </row>
    <row r="16" spans="1:22" x14ac:dyDescent="0.25">
      <c r="A16" s="38"/>
      <c r="B16" s="149" t="s">
        <v>222</v>
      </c>
      <c r="C16" s="150">
        <v>0.05</v>
      </c>
      <c r="D16" s="38"/>
      <c r="E16" s="472">
        <f>E4*C16</f>
        <v>3.7500000000000006E-2</v>
      </c>
      <c r="F16" s="116" t="s">
        <v>221</v>
      </c>
      <c r="G16" s="204">
        <f>E4*C10*55.5</f>
        <v>1.24875</v>
      </c>
      <c r="H16" s="38" t="s">
        <v>245</v>
      </c>
      <c r="I16" s="38"/>
      <c r="J16" s="38"/>
      <c r="K16" s="38"/>
      <c r="L16" s="38"/>
      <c r="M16" s="38"/>
      <c r="N16" s="38"/>
      <c r="O16" s="38"/>
      <c r="P16" s="38"/>
      <c r="Q16" s="38"/>
      <c r="R16" s="38"/>
      <c r="S16" s="38"/>
      <c r="T16" s="38"/>
      <c r="U16" s="38"/>
      <c r="V16" s="38"/>
    </row>
    <row r="17" spans="1:22" ht="15.75" thickBot="1" x14ac:dyDescent="0.3">
      <c r="A17" s="38"/>
      <c r="B17" s="149" t="s">
        <v>224</v>
      </c>
      <c r="C17" s="150">
        <v>0.25</v>
      </c>
      <c r="D17" s="38"/>
      <c r="E17" s="472">
        <f>E4*C17</f>
        <v>0.1875</v>
      </c>
      <c r="F17" s="116" t="s">
        <v>221</v>
      </c>
      <c r="G17" s="205">
        <f>E4*C17*4</f>
        <v>0.75</v>
      </c>
      <c r="H17" s="38" t="s">
        <v>245</v>
      </c>
      <c r="I17" s="38"/>
      <c r="J17" s="38"/>
      <c r="K17" s="38"/>
      <c r="L17" s="38"/>
      <c r="M17" s="38"/>
      <c r="N17" s="38"/>
      <c r="O17" s="38"/>
      <c r="P17" s="38"/>
      <c r="Q17" s="38"/>
      <c r="R17" s="38"/>
      <c r="S17" s="38"/>
      <c r="T17" s="38"/>
      <c r="U17" s="38"/>
      <c r="V17" s="38"/>
    </row>
    <row r="18" spans="1:22" ht="9.75" customHeight="1" x14ac:dyDescent="0.25">
      <c r="A18" s="38"/>
      <c r="B18" s="38"/>
      <c r="C18" s="143"/>
      <c r="D18" s="38"/>
      <c r="E18" s="37"/>
      <c r="F18" s="116"/>
      <c r="G18" s="143"/>
      <c r="H18" s="38"/>
      <c r="I18" s="733" t="s">
        <v>401</v>
      </c>
      <c r="J18" s="733"/>
      <c r="K18" s="38"/>
      <c r="L18" s="38"/>
      <c r="M18" s="38"/>
      <c r="N18" s="38"/>
      <c r="O18" s="38"/>
      <c r="P18" s="38"/>
      <c r="Q18" s="38"/>
      <c r="R18" s="38"/>
      <c r="S18" s="38"/>
      <c r="T18" s="38"/>
      <c r="U18" s="38"/>
      <c r="V18" s="38"/>
    </row>
    <row r="19" spans="1:22" ht="9" customHeight="1" x14ac:dyDescent="0.25">
      <c r="A19" s="38"/>
      <c r="B19" s="38"/>
      <c r="C19" s="143"/>
      <c r="D19" s="38"/>
      <c r="E19" s="37"/>
      <c r="F19" s="116"/>
      <c r="G19" s="143"/>
      <c r="H19" s="38"/>
      <c r="I19" s="733"/>
      <c r="J19" s="733"/>
      <c r="K19" s="38"/>
      <c r="L19" s="38"/>
      <c r="M19" s="38"/>
      <c r="N19" s="38"/>
      <c r="O19" s="38"/>
      <c r="P19" s="38"/>
      <c r="Q19" s="38"/>
      <c r="R19" s="38"/>
      <c r="S19" s="38"/>
      <c r="T19" s="38"/>
      <c r="U19" s="38"/>
      <c r="V19" s="38"/>
    </row>
    <row r="20" spans="1:22" ht="16.5" thickBot="1" x14ac:dyDescent="0.3">
      <c r="A20" s="38"/>
      <c r="B20" s="152" t="s">
        <v>225</v>
      </c>
      <c r="C20" s="143"/>
      <c r="D20" s="38"/>
      <c r="E20" s="37"/>
      <c r="F20" s="116"/>
      <c r="G20" s="143"/>
      <c r="H20" s="38"/>
      <c r="I20" s="38" t="s">
        <v>402</v>
      </c>
      <c r="J20" s="38"/>
      <c r="K20" s="38"/>
      <c r="L20" s="38"/>
      <c r="M20" s="38"/>
      <c r="N20" s="38"/>
      <c r="O20" s="38"/>
      <c r="P20" s="38"/>
      <c r="Q20" s="38"/>
      <c r="R20" s="38"/>
      <c r="S20" s="38"/>
      <c r="T20" s="38"/>
      <c r="U20" s="38"/>
      <c r="V20" s="38"/>
    </row>
    <row r="21" spans="1:22" ht="18" customHeight="1" thickBot="1" x14ac:dyDescent="0.3">
      <c r="A21" s="38"/>
      <c r="B21" s="153" t="s">
        <v>220</v>
      </c>
      <c r="C21" s="154">
        <v>0.15</v>
      </c>
      <c r="D21" s="38"/>
      <c r="E21" s="472">
        <f>E4*C21</f>
        <v>0.11249999999999999</v>
      </c>
      <c r="F21" s="116" t="s">
        <v>221</v>
      </c>
      <c r="G21" s="204">
        <f>E16*C21*400</f>
        <v>2.2500000000000004</v>
      </c>
      <c r="H21" s="38" t="s">
        <v>245</v>
      </c>
      <c r="I21" s="471" t="s">
        <v>403</v>
      </c>
      <c r="J21" s="38"/>
      <c r="K21" s="38"/>
      <c r="L21" s="38"/>
      <c r="M21" s="38"/>
      <c r="N21" s="38"/>
      <c r="O21" s="38"/>
      <c r="P21" s="38"/>
      <c r="Q21" s="38"/>
      <c r="R21" s="38"/>
      <c r="S21" s="38"/>
      <c r="T21" s="38"/>
      <c r="U21" s="38"/>
      <c r="V21" s="38"/>
    </row>
    <row r="22" spans="1:22" ht="15.75" x14ac:dyDescent="0.25">
      <c r="A22" s="38"/>
      <c r="B22" s="149" t="s">
        <v>222</v>
      </c>
      <c r="C22" s="156">
        <v>0.05</v>
      </c>
      <c r="D22" s="38"/>
      <c r="E22" s="472">
        <f>E4*C22</f>
        <v>3.7500000000000006E-2</v>
      </c>
      <c r="F22" s="116" t="s">
        <v>221</v>
      </c>
      <c r="G22" s="204">
        <f>E4*C10*55.5</f>
        <v>1.24875</v>
      </c>
      <c r="H22" s="38" t="s">
        <v>245</v>
      </c>
      <c r="I22" s="38" t="s">
        <v>404</v>
      </c>
      <c r="J22" s="38"/>
      <c r="K22" s="38"/>
      <c r="L22" s="38"/>
      <c r="M22" s="38"/>
      <c r="N22" s="38"/>
      <c r="O22" s="38"/>
      <c r="P22" s="38"/>
      <c r="Q22" s="38"/>
      <c r="R22" s="38"/>
      <c r="S22" s="38"/>
      <c r="T22" s="38"/>
      <c r="U22" s="38"/>
      <c r="V22" s="38"/>
    </row>
    <row r="23" spans="1:22" ht="16.5" thickBot="1" x14ac:dyDescent="0.3">
      <c r="A23" s="38"/>
      <c r="B23" s="155" t="s">
        <v>224</v>
      </c>
      <c r="C23" s="156">
        <v>0.25</v>
      </c>
      <c r="D23" s="38"/>
      <c r="E23" s="472">
        <f>E4*C23</f>
        <v>0.1875</v>
      </c>
      <c r="F23" s="116" t="s">
        <v>221</v>
      </c>
      <c r="G23" s="205">
        <f>E4*C23*4</f>
        <v>0.75</v>
      </c>
      <c r="H23" s="38" t="s">
        <v>245</v>
      </c>
      <c r="I23" s="38"/>
      <c r="J23" s="38"/>
      <c r="K23" s="38"/>
      <c r="L23" s="38"/>
      <c r="M23" s="38"/>
      <c r="N23" s="38"/>
      <c r="O23" s="38"/>
      <c r="P23" s="38"/>
      <c r="Q23" s="38"/>
      <c r="R23" s="38"/>
      <c r="S23" s="38"/>
      <c r="T23" s="38"/>
      <c r="U23" s="38"/>
      <c r="V23" s="38"/>
    </row>
    <row r="24" spans="1:22" x14ac:dyDescent="0.25">
      <c r="A24" s="38"/>
      <c r="B24" s="38"/>
      <c r="C24" s="143"/>
      <c r="D24" s="38"/>
      <c r="E24" s="37"/>
      <c r="F24" s="38"/>
      <c r="G24" s="143"/>
      <c r="H24" s="38"/>
      <c r="I24" s="38"/>
      <c r="J24" s="38"/>
      <c r="K24" s="38"/>
      <c r="L24" s="38"/>
      <c r="M24" s="38"/>
      <c r="N24" s="38"/>
      <c r="O24" s="38"/>
      <c r="P24" s="38"/>
      <c r="Q24" s="38"/>
      <c r="R24" s="38"/>
      <c r="S24" s="38"/>
      <c r="T24" s="38"/>
      <c r="U24" s="38"/>
      <c r="V24" s="38"/>
    </row>
    <row r="25" spans="1:22" ht="55.5" customHeight="1" x14ac:dyDescent="0.25">
      <c r="A25" s="38"/>
      <c r="B25" s="38"/>
      <c r="C25" s="143"/>
      <c r="D25" s="38"/>
      <c r="E25" s="473" t="s">
        <v>538</v>
      </c>
      <c r="F25" s="38"/>
      <c r="G25" s="143"/>
      <c r="H25" s="38"/>
      <c r="I25" s="38"/>
      <c r="J25" s="38"/>
      <c r="K25" s="38"/>
      <c r="L25" s="38"/>
      <c r="M25" s="38"/>
      <c r="N25" s="38"/>
      <c r="O25" s="38"/>
      <c r="P25" s="38"/>
      <c r="Q25" s="38"/>
      <c r="R25" s="38"/>
      <c r="S25" s="38"/>
      <c r="T25" s="38"/>
      <c r="U25" s="38"/>
      <c r="V25" s="38"/>
    </row>
    <row r="26" spans="1:22" x14ac:dyDescent="0.25">
      <c r="A26" s="38"/>
      <c r="B26" s="38"/>
      <c r="C26" s="143"/>
      <c r="D26" s="38"/>
      <c r="E26" s="37"/>
      <c r="F26" s="38"/>
      <c r="G26" s="143"/>
      <c r="H26" s="38"/>
      <c r="I26" s="38"/>
      <c r="J26" s="38"/>
      <c r="K26" s="38"/>
      <c r="L26" s="38"/>
      <c r="M26" s="38"/>
      <c r="N26" s="38"/>
      <c r="O26" s="38"/>
      <c r="P26" s="38"/>
      <c r="Q26" s="38"/>
      <c r="R26" s="38"/>
      <c r="S26" s="38"/>
      <c r="T26" s="38"/>
      <c r="U26" s="38"/>
      <c r="V26" s="38"/>
    </row>
    <row r="27" spans="1:22" x14ac:dyDescent="0.25">
      <c r="A27" s="38"/>
    </row>
    <row r="28" spans="1:22" x14ac:dyDescent="0.25">
      <c r="A28" s="38"/>
    </row>
    <row r="29" spans="1:22" x14ac:dyDescent="0.25">
      <c r="A29" s="38"/>
    </row>
    <row r="30" spans="1:22" x14ac:dyDescent="0.25">
      <c r="A30" s="38"/>
    </row>
    <row r="31" spans="1:22" x14ac:dyDescent="0.25">
      <c r="A31" s="38"/>
    </row>
    <row r="32" spans="1:22" x14ac:dyDescent="0.25">
      <c r="A32" s="38"/>
    </row>
    <row r="33" spans="1:1" x14ac:dyDescent="0.25">
      <c r="A33" s="38"/>
    </row>
  </sheetData>
  <sheetProtection password="CC70" sheet="1" objects="1" scenarios="1"/>
  <mergeCells count="2">
    <mergeCell ref="I18:J19"/>
    <mergeCell ref="I12:M15"/>
  </mergeCells>
  <pageMargins left="0.23622047244094491" right="0.23622047244094491" top="0.74803149606299213" bottom="0.74803149606299213" header="0.31496062992125984" footer="0.31496062992125984"/>
  <pageSetup paperSize="9" orientation="landscape" horizontalDpi="4294967293" verticalDpi="0" r:id="rId1"/>
  <headerFooter>
    <oddFooter>&amp;C&amp;F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pane xSplit="14" ySplit="27" topLeftCell="O41" activePane="bottomRight" state="frozenSplit"/>
      <selection pane="topRight" activeCell="N1" sqref="N1"/>
      <selection pane="bottomLeft" activeCell="A28" sqref="A28"/>
      <selection pane="bottomRight" activeCell="M17" sqref="M17"/>
    </sheetView>
  </sheetViews>
  <sheetFormatPr baseColWidth="10" defaultRowHeight="15" x14ac:dyDescent="0.25"/>
  <cols>
    <col min="1" max="1" width="11.42578125" style="212"/>
    <col min="14" max="14" width="73.140625" customWidth="1"/>
  </cols>
  <sheetData>
    <row r="1" spans="1:15" ht="15.75" thickBot="1" x14ac:dyDescent="0.3">
      <c r="A1" s="214"/>
      <c r="B1" s="214"/>
      <c r="C1" s="214"/>
      <c r="D1" s="214"/>
      <c r="E1" s="214"/>
      <c r="F1" s="214"/>
      <c r="G1" s="214"/>
      <c r="H1" s="214"/>
      <c r="I1" s="214"/>
      <c r="J1" s="214"/>
      <c r="K1" s="214"/>
      <c r="L1" s="214"/>
      <c r="M1" s="214"/>
      <c r="N1" s="214"/>
      <c r="O1" s="214"/>
    </row>
    <row r="2" spans="1:15" ht="15.75" thickBot="1" x14ac:dyDescent="0.3">
      <c r="A2" s="214"/>
      <c r="B2" s="737" t="s">
        <v>247</v>
      </c>
      <c r="C2" s="737"/>
      <c r="D2" s="400" t="s">
        <v>259</v>
      </c>
      <c r="E2" s="214"/>
      <c r="F2" s="214"/>
      <c r="G2" s="214"/>
      <c r="H2" s="214"/>
      <c r="I2" s="738" t="s">
        <v>248</v>
      </c>
      <c r="J2" s="739"/>
      <c r="K2" s="214"/>
      <c r="L2" s="214"/>
      <c r="M2" s="214"/>
      <c r="N2" s="214"/>
      <c r="O2" s="214"/>
    </row>
    <row r="3" spans="1:15" ht="15.75" thickBot="1" x14ac:dyDescent="0.3">
      <c r="A3" s="214"/>
      <c r="B3" s="737"/>
      <c r="C3" s="737"/>
      <c r="D3" s="214"/>
      <c r="E3" s="214"/>
      <c r="F3" s="214"/>
      <c r="G3" s="214"/>
      <c r="H3" s="214"/>
      <c r="I3" s="740"/>
      <c r="J3" s="741"/>
      <c r="K3" s="214"/>
      <c r="L3" s="214"/>
      <c r="M3" s="214"/>
      <c r="N3" s="214"/>
      <c r="O3" s="214"/>
    </row>
    <row r="4" spans="1:15" ht="36" customHeight="1" thickBot="1" x14ac:dyDescent="0.3">
      <c r="A4" s="214"/>
      <c r="B4" s="214"/>
      <c r="C4" s="214"/>
      <c r="D4" s="401">
        <v>12</v>
      </c>
      <c r="E4" s="214"/>
      <c r="F4" s="214"/>
      <c r="G4" s="214"/>
      <c r="H4" s="263">
        <f>F6-D8</f>
        <v>7</v>
      </c>
      <c r="I4" s="214"/>
      <c r="J4" s="214"/>
      <c r="K4" s="214"/>
      <c r="L4" s="214"/>
      <c r="M4" s="214"/>
      <c r="N4" s="214"/>
      <c r="O4" s="214"/>
    </row>
    <row r="5" spans="1:15" ht="15.75" thickBot="1" x14ac:dyDescent="0.3">
      <c r="A5" s="214"/>
      <c r="B5" s="214"/>
      <c r="C5" s="214"/>
      <c r="D5" s="214"/>
      <c r="E5" s="214"/>
      <c r="F5" s="214"/>
      <c r="G5" s="214"/>
      <c r="H5" s="214"/>
      <c r="I5" s="214"/>
      <c r="J5" s="214"/>
      <c r="K5" s="214"/>
      <c r="L5" s="214"/>
      <c r="M5" s="214"/>
      <c r="N5" s="214"/>
      <c r="O5" s="214"/>
    </row>
    <row r="6" spans="1:15" ht="33.75" customHeight="1" thickBot="1" x14ac:dyDescent="0.3">
      <c r="A6" s="214"/>
      <c r="B6" s="742" t="s">
        <v>249</v>
      </c>
      <c r="C6" s="743"/>
      <c r="D6" s="214"/>
      <c r="E6" s="214"/>
      <c r="F6" s="401">
        <v>7</v>
      </c>
      <c r="G6" s="214"/>
      <c r="H6" s="214"/>
      <c r="I6" s="214"/>
      <c r="J6" s="214"/>
      <c r="K6" s="214"/>
      <c r="L6" s="214"/>
      <c r="M6" s="214"/>
      <c r="N6" s="214"/>
      <c r="O6" s="214"/>
    </row>
    <row r="7" spans="1:15" ht="15.75" thickBot="1" x14ac:dyDescent="0.3">
      <c r="A7" s="214"/>
      <c r="B7" s="214"/>
      <c r="C7" s="214"/>
      <c r="D7" s="214"/>
      <c r="E7" s="214"/>
      <c r="F7" s="214"/>
      <c r="G7" s="214"/>
      <c r="H7" s="214"/>
      <c r="I7" s="214"/>
      <c r="J7" s="214"/>
      <c r="K7" s="214"/>
      <c r="L7" s="214"/>
      <c r="M7" s="214"/>
      <c r="N7" s="214"/>
      <c r="O7" s="214"/>
    </row>
    <row r="8" spans="1:15" ht="37.5" customHeight="1" thickBot="1" x14ac:dyDescent="0.3">
      <c r="A8" s="214"/>
      <c r="B8" s="214"/>
      <c r="C8" s="214"/>
      <c r="D8" s="401">
        <v>0</v>
      </c>
      <c r="E8" s="214"/>
      <c r="F8" s="214"/>
      <c r="G8" s="214"/>
      <c r="H8" s="50">
        <f>D4-F6</f>
        <v>5</v>
      </c>
      <c r="I8" s="214"/>
      <c r="J8" s="214"/>
      <c r="K8" s="214"/>
      <c r="L8" s="214"/>
      <c r="M8" s="214"/>
      <c r="N8" s="214"/>
      <c r="O8" s="214"/>
    </row>
    <row r="9" spans="1:15" ht="15.75" thickBot="1" x14ac:dyDescent="0.3">
      <c r="A9" s="214"/>
      <c r="B9" s="744" t="s">
        <v>250</v>
      </c>
      <c r="C9" s="744"/>
      <c r="D9" s="214"/>
      <c r="E9" s="214"/>
      <c r="F9" s="214"/>
      <c r="G9" s="214"/>
      <c r="H9" s="214"/>
      <c r="I9" s="738" t="s">
        <v>254</v>
      </c>
      <c r="J9" s="739"/>
      <c r="K9" s="214"/>
      <c r="L9" s="214"/>
      <c r="M9" s="214"/>
      <c r="N9" s="214"/>
      <c r="O9" s="214"/>
    </row>
    <row r="10" spans="1:15" ht="15.75" thickBot="1" x14ac:dyDescent="0.3">
      <c r="A10" s="214"/>
      <c r="B10" s="744"/>
      <c r="C10" s="744"/>
      <c r="D10" s="401" t="s">
        <v>258</v>
      </c>
      <c r="E10" s="214"/>
      <c r="F10" s="214"/>
      <c r="G10" s="214"/>
      <c r="H10" s="214"/>
      <c r="I10" s="740"/>
      <c r="J10" s="741"/>
      <c r="K10" s="214"/>
      <c r="L10" s="214"/>
      <c r="M10" s="214"/>
      <c r="N10" s="214"/>
      <c r="O10" s="214"/>
    </row>
    <row r="11" spans="1:15" ht="15.75" thickBot="1" x14ac:dyDescent="0.3">
      <c r="A11" s="214"/>
      <c r="B11" s="214"/>
      <c r="C11" s="214"/>
      <c r="D11" s="214"/>
      <c r="E11" s="214"/>
      <c r="F11" s="214"/>
      <c r="G11" s="214"/>
      <c r="H11" s="214"/>
      <c r="I11" s="214"/>
      <c r="J11" s="214"/>
      <c r="K11" s="214"/>
      <c r="L11" s="214"/>
      <c r="M11" s="214"/>
      <c r="N11" s="214"/>
      <c r="O11" s="214"/>
    </row>
    <row r="12" spans="1:15" ht="15.75" thickBot="1" x14ac:dyDescent="0.3">
      <c r="A12" s="214"/>
      <c r="B12" s="214"/>
      <c r="C12" s="214"/>
      <c r="D12" s="214"/>
      <c r="E12" s="214"/>
      <c r="F12" s="214"/>
      <c r="G12" s="214"/>
      <c r="H12" s="264">
        <f>H4+H8</f>
        <v>12</v>
      </c>
      <c r="I12" s="214"/>
      <c r="J12" s="214"/>
      <c r="K12" s="214"/>
      <c r="L12" s="214"/>
      <c r="M12" s="214"/>
      <c r="N12" s="214"/>
      <c r="O12" s="214"/>
    </row>
    <row r="13" spans="1:15" x14ac:dyDescent="0.25">
      <c r="A13" s="214"/>
      <c r="B13" s="214"/>
      <c r="C13" s="214"/>
      <c r="D13" s="214"/>
      <c r="E13" s="214"/>
      <c r="F13" s="214"/>
      <c r="G13" s="214"/>
      <c r="H13" s="214"/>
      <c r="I13" s="214"/>
      <c r="J13" s="214"/>
      <c r="K13" s="214"/>
      <c r="L13" s="214"/>
      <c r="M13" s="214"/>
      <c r="N13" s="214"/>
      <c r="O13" s="214"/>
    </row>
    <row r="14" spans="1:15" ht="15.75" thickBot="1" x14ac:dyDescent="0.3">
      <c r="A14" s="214"/>
      <c r="B14" s="214"/>
      <c r="C14" s="214"/>
      <c r="D14" s="214"/>
      <c r="E14" s="214"/>
      <c r="F14" s="214"/>
      <c r="G14" s="214"/>
      <c r="H14" s="214"/>
      <c r="I14" s="214"/>
      <c r="J14" s="214"/>
      <c r="K14" s="214"/>
      <c r="L14" s="214"/>
      <c r="M14" s="214"/>
      <c r="N14" s="214"/>
      <c r="O14" s="214"/>
    </row>
    <row r="15" spans="1:15" ht="15.75" thickBot="1" x14ac:dyDescent="0.3">
      <c r="A15" s="214"/>
      <c r="B15" s="276" t="s">
        <v>251</v>
      </c>
      <c r="C15" s="277"/>
      <c r="D15" s="278"/>
      <c r="E15" s="745">
        <v>18</v>
      </c>
      <c r="F15" s="214"/>
      <c r="G15" s="214"/>
      <c r="H15" s="214"/>
      <c r="I15" s="214"/>
      <c r="J15" s="214"/>
      <c r="K15" s="214"/>
      <c r="L15" s="214"/>
      <c r="M15" s="214"/>
      <c r="N15" s="214"/>
      <c r="O15" s="214"/>
    </row>
    <row r="16" spans="1:15" ht="15.75" thickBot="1" x14ac:dyDescent="0.3">
      <c r="A16" s="214"/>
      <c r="B16" s="214"/>
      <c r="C16" s="214"/>
      <c r="D16" s="214"/>
      <c r="E16" s="746"/>
      <c r="F16" s="214"/>
      <c r="G16" s="214"/>
      <c r="H16" s="214"/>
      <c r="I16" s="214"/>
      <c r="J16" s="214"/>
      <c r="K16" s="214"/>
      <c r="L16" s="214"/>
      <c r="M16" s="214"/>
      <c r="N16" s="214"/>
      <c r="O16" s="214"/>
    </row>
    <row r="17" spans="1:15" ht="15.75" thickBot="1" x14ac:dyDescent="0.3">
      <c r="A17" s="214"/>
      <c r="B17" s="214"/>
      <c r="C17" s="214"/>
      <c r="D17" s="214"/>
      <c r="E17" s="214"/>
      <c r="F17" s="214"/>
      <c r="G17" s="214"/>
      <c r="H17" s="214"/>
      <c r="I17" s="214"/>
      <c r="J17" s="214"/>
      <c r="K17" s="214"/>
      <c r="L17" s="214"/>
      <c r="M17" s="214"/>
      <c r="N17" s="214"/>
      <c r="O17" s="214"/>
    </row>
    <row r="18" spans="1:15" x14ac:dyDescent="0.25">
      <c r="A18" s="214"/>
      <c r="B18" s="265"/>
      <c r="C18" s="266"/>
      <c r="D18" s="266"/>
      <c r="E18" s="266"/>
      <c r="F18" s="266"/>
      <c r="G18" s="267"/>
      <c r="H18" s="214"/>
      <c r="I18" s="214"/>
      <c r="J18" s="214"/>
      <c r="K18" s="214"/>
      <c r="L18" s="214"/>
      <c r="M18" s="214"/>
      <c r="N18" s="214"/>
      <c r="O18" s="214"/>
    </row>
    <row r="19" spans="1:15" x14ac:dyDescent="0.25">
      <c r="A19" s="214"/>
      <c r="B19" s="268"/>
      <c r="C19" s="735" t="s">
        <v>252</v>
      </c>
      <c r="D19" s="735"/>
      <c r="E19" s="269"/>
      <c r="F19" s="403">
        <f>(H4*E15)/H12</f>
        <v>10.5</v>
      </c>
      <c r="G19" s="270" t="s">
        <v>4</v>
      </c>
      <c r="H19" s="237"/>
      <c r="I19" s="214"/>
      <c r="J19" s="214"/>
      <c r="K19" s="214"/>
      <c r="L19" s="214"/>
      <c r="M19" s="214"/>
      <c r="N19" s="214"/>
      <c r="O19" s="214"/>
    </row>
    <row r="20" spans="1:15" x14ac:dyDescent="0.25">
      <c r="A20" s="214"/>
      <c r="B20" s="268"/>
      <c r="C20" s="269"/>
      <c r="D20" s="269"/>
      <c r="E20" s="269"/>
      <c r="F20" s="271"/>
      <c r="G20" s="270"/>
      <c r="H20" s="214"/>
      <c r="I20" s="214"/>
      <c r="J20" s="214"/>
      <c r="K20" s="214"/>
      <c r="L20" s="214"/>
      <c r="M20" s="214"/>
      <c r="N20" s="214"/>
      <c r="O20" s="214"/>
    </row>
    <row r="21" spans="1:15" x14ac:dyDescent="0.25">
      <c r="A21" s="214"/>
      <c r="B21" s="268"/>
      <c r="C21" s="736" t="s">
        <v>253</v>
      </c>
      <c r="D21" s="736"/>
      <c r="E21" s="269"/>
      <c r="F21" s="402">
        <f>(H8*E15)/H12</f>
        <v>7.5</v>
      </c>
      <c r="G21" s="270" t="s">
        <v>4</v>
      </c>
      <c r="H21" s="237"/>
      <c r="I21" s="214"/>
      <c r="J21" s="214"/>
      <c r="K21" s="214"/>
      <c r="L21" s="214"/>
      <c r="M21" s="214"/>
      <c r="N21" s="214"/>
      <c r="O21" s="214"/>
    </row>
    <row r="22" spans="1:15" ht="6" customHeight="1" thickBot="1" x14ac:dyDescent="0.3">
      <c r="A22" s="214"/>
      <c r="B22" s="268"/>
      <c r="C22" s="269"/>
      <c r="D22" s="269"/>
      <c r="E22" s="269"/>
      <c r="F22" s="215"/>
      <c r="G22" s="272"/>
      <c r="H22" s="214"/>
      <c r="I22" s="214"/>
      <c r="J22" s="214"/>
      <c r="K22" s="214"/>
      <c r="L22" s="214"/>
      <c r="M22" s="214"/>
      <c r="N22" s="214"/>
      <c r="O22" s="214"/>
    </row>
    <row r="23" spans="1:15" ht="15.75" customHeight="1" x14ac:dyDescent="0.3">
      <c r="A23" s="214"/>
      <c r="B23" s="268"/>
      <c r="C23" s="269"/>
      <c r="D23" s="269"/>
      <c r="E23" s="269"/>
      <c r="F23" s="420">
        <f>SUM(F19,F21)</f>
        <v>18</v>
      </c>
      <c r="G23" s="421" t="s">
        <v>4</v>
      </c>
      <c r="H23" s="237"/>
      <c r="I23" s="214"/>
      <c r="J23" s="214"/>
      <c r="K23" s="214"/>
      <c r="L23" s="214"/>
      <c r="M23" s="214"/>
      <c r="N23" s="214"/>
      <c r="O23" s="214"/>
    </row>
    <row r="24" spans="1:15" ht="15.75" thickBot="1" x14ac:dyDescent="0.3">
      <c r="A24" s="214"/>
      <c r="B24" s="273"/>
      <c r="C24" s="274"/>
      <c r="D24" s="274"/>
      <c r="E24" s="274"/>
      <c r="F24" s="274"/>
      <c r="G24" s="275"/>
      <c r="H24" s="214"/>
      <c r="I24" s="214"/>
      <c r="J24" s="214"/>
      <c r="K24" s="214"/>
      <c r="L24" s="214"/>
      <c r="M24" s="214"/>
      <c r="N24" s="214"/>
      <c r="O24" s="214"/>
    </row>
    <row r="25" spans="1:15" x14ac:dyDescent="0.25">
      <c r="A25" s="214"/>
      <c r="B25" s="214"/>
      <c r="C25" s="214"/>
      <c r="D25" s="214"/>
      <c r="E25" s="214"/>
      <c r="F25" s="214"/>
      <c r="G25" s="214"/>
      <c r="H25" s="214"/>
      <c r="I25" s="214"/>
      <c r="J25" s="214"/>
      <c r="K25" s="214"/>
      <c r="L25" s="214"/>
      <c r="M25" s="214"/>
      <c r="N25" s="214"/>
      <c r="O25" s="214"/>
    </row>
    <row r="26" spans="1:15" ht="29.25" customHeight="1" x14ac:dyDescent="0.25">
      <c r="A26" s="214"/>
      <c r="B26" s="214"/>
      <c r="C26" s="214"/>
      <c r="D26" s="214"/>
      <c r="E26" s="214"/>
      <c r="F26" s="214"/>
      <c r="G26" s="214"/>
      <c r="H26" s="214"/>
      <c r="I26" s="214"/>
      <c r="J26" s="214"/>
      <c r="K26" s="214"/>
      <c r="L26" s="214"/>
      <c r="M26" s="214"/>
      <c r="N26" s="214"/>
      <c r="O26" s="214"/>
    </row>
    <row r="27" spans="1:15" x14ac:dyDescent="0.25">
      <c r="A27" s="214"/>
      <c r="B27" s="214"/>
      <c r="C27" s="214"/>
      <c r="D27" s="214"/>
      <c r="E27" s="214"/>
      <c r="F27" s="214"/>
      <c r="G27" s="214"/>
      <c r="H27" s="214"/>
      <c r="I27" s="214"/>
      <c r="J27" s="214"/>
      <c r="K27" s="214"/>
      <c r="L27" s="214"/>
      <c r="M27" s="214"/>
      <c r="N27" s="214"/>
      <c r="O27" s="214"/>
    </row>
    <row r="28" spans="1:15" x14ac:dyDescent="0.25">
      <c r="B28" s="214"/>
      <c r="C28" s="214"/>
      <c r="D28" s="214"/>
      <c r="E28" s="214"/>
      <c r="F28" s="214"/>
      <c r="G28" s="214"/>
      <c r="H28" s="214"/>
      <c r="I28" s="214"/>
      <c r="J28" s="214"/>
      <c r="K28" s="214"/>
      <c r="L28" s="214"/>
      <c r="M28" s="214"/>
      <c r="N28" s="214"/>
      <c r="O28" s="214"/>
    </row>
  </sheetData>
  <sheetProtection password="CC70" sheet="1" objects="1" scenarios="1"/>
  <mergeCells count="8">
    <mergeCell ref="C19:D19"/>
    <mergeCell ref="C21:D21"/>
    <mergeCell ref="B2:C3"/>
    <mergeCell ref="I2:J3"/>
    <mergeCell ref="B6:C6"/>
    <mergeCell ref="B9:C10"/>
    <mergeCell ref="I9:J10"/>
    <mergeCell ref="E15:E16"/>
  </mergeCells>
  <pageMargins left="0.23622047244094491" right="0.23622047244094491" top="0.74803149606299213" bottom="0.74803149606299213" header="0.31496062992125984" footer="0.31496062992125984"/>
  <pageSetup paperSize="9" orientation="landscape" horizontalDpi="4294967294" verticalDpi="0" r:id="rId1"/>
  <headerFooter>
    <oddFooter>&amp;C&amp;F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pane xSplit="29" ySplit="24" topLeftCell="AD37" activePane="bottomRight" state="frozenSplit"/>
      <selection pane="topRight" activeCell="AB1" sqref="AB1"/>
      <selection pane="bottomLeft" activeCell="B23" sqref="B23"/>
      <selection pane="bottomRight" activeCell="C8" sqref="C8"/>
    </sheetView>
  </sheetViews>
  <sheetFormatPr baseColWidth="10" defaultRowHeight="15" x14ac:dyDescent="0.25"/>
  <cols>
    <col min="1" max="1" width="1.7109375" customWidth="1"/>
    <col min="2" max="2" width="10.42578125" customWidth="1"/>
    <col min="3" max="3" width="22.7109375" customWidth="1"/>
    <col min="4" max="4" width="6.140625" customWidth="1"/>
    <col min="5" max="5" width="16.140625" customWidth="1"/>
    <col min="6" max="6" width="3.42578125" customWidth="1"/>
    <col min="7" max="7" width="1" customWidth="1"/>
    <col min="8" max="8" width="13.5703125" customWidth="1"/>
    <col min="9" max="9" width="3.5703125" customWidth="1"/>
    <col min="10" max="10" width="1.42578125" customWidth="1"/>
    <col min="11" max="11" width="0.7109375" customWidth="1"/>
    <col min="12" max="12" width="15.140625" customWidth="1"/>
    <col min="13" max="13" width="3.7109375" customWidth="1"/>
    <col min="14" max="14" width="1.7109375" customWidth="1"/>
    <col min="15" max="15" width="3.28515625" customWidth="1"/>
    <col min="16" max="16" width="3.7109375" customWidth="1"/>
    <col min="17" max="17" width="3.42578125" customWidth="1"/>
    <col min="18" max="18" width="3" customWidth="1"/>
    <col min="19" max="19" width="3.42578125" customWidth="1"/>
    <col min="20" max="21" width="3.7109375" customWidth="1"/>
    <col min="22" max="22" width="2" customWidth="1"/>
    <col min="23" max="23" width="2.7109375" customWidth="1"/>
    <col min="24" max="24" width="2.42578125" customWidth="1"/>
    <col min="25" max="26" width="2.5703125" customWidth="1"/>
    <col min="27" max="27" width="1.7109375" customWidth="1"/>
    <col min="28" max="28" width="3.140625" style="279" customWidth="1"/>
    <col min="29" max="29" width="73" customWidth="1"/>
  </cols>
  <sheetData>
    <row r="1" spans="1:29" x14ac:dyDescent="0.25">
      <c r="A1" s="38"/>
      <c r="B1" s="36" t="s">
        <v>52</v>
      </c>
      <c r="C1" s="37"/>
      <c r="D1" s="37"/>
      <c r="E1" s="37"/>
      <c r="F1" s="37"/>
      <c r="G1" s="37"/>
      <c r="H1" s="37"/>
      <c r="I1" s="38"/>
      <c r="J1" s="38"/>
      <c r="K1" s="38"/>
      <c r="L1" s="38"/>
      <c r="M1" s="37"/>
      <c r="N1" s="37"/>
      <c r="O1" s="37"/>
      <c r="P1" s="37"/>
      <c r="Q1" s="37"/>
      <c r="R1" s="37"/>
      <c r="S1" s="37"/>
      <c r="T1" s="38"/>
      <c r="U1" s="38"/>
      <c r="V1" s="38"/>
      <c r="W1" s="38"/>
      <c r="X1" s="38"/>
      <c r="Y1" s="38"/>
      <c r="Z1" s="38"/>
      <c r="AA1" s="38"/>
      <c r="AB1" s="38"/>
      <c r="AC1" s="38"/>
    </row>
    <row r="2" spans="1:29" x14ac:dyDescent="0.25">
      <c r="A2" s="38"/>
      <c r="B2" s="38" t="s">
        <v>53</v>
      </c>
      <c r="C2" s="37"/>
      <c r="D2" s="37"/>
      <c r="E2" s="37"/>
      <c r="F2" s="37"/>
      <c r="G2" s="37"/>
      <c r="H2" s="37"/>
      <c r="I2" s="38"/>
      <c r="J2" s="38"/>
      <c r="K2" s="38"/>
      <c r="L2" s="38"/>
      <c r="M2" s="37"/>
      <c r="N2" s="37"/>
      <c r="O2" s="37"/>
      <c r="P2" s="37"/>
      <c r="Q2" s="37"/>
      <c r="R2" s="37"/>
      <c r="S2" s="37"/>
      <c r="T2" s="38"/>
      <c r="U2" s="38"/>
      <c r="V2" s="38"/>
      <c r="W2" s="38"/>
      <c r="X2" s="38"/>
      <c r="Y2" s="38"/>
      <c r="Z2" s="38"/>
      <c r="AA2" s="38"/>
      <c r="AB2" s="38"/>
      <c r="AC2" s="38"/>
    </row>
    <row r="3" spans="1:29" x14ac:dyDescent="0.25">
      <c r="A3" s="38"/>
      <c r="B3" s="38" t="s">
        <v>51</v>
      </c>
      <c r="C3" s="37"/>
      <c r="D3" s="37"/>
      <c r="E3" s="37"/>
      <c r="F3" s="37"/>
      <c r="G3" s="37"/>
      <c r="H3" s="37"/>
      <c r="I3" s="38"/>
      <c r="J3" s="38"/>
      <c r="K3" s="38"/>
      <c r="L3" s="38"/>
      <c r="M3" s="37"/>
      <c r="N3" s="37"/>
      <c r="O3" s="37"/>
      <c r="P3" s="37"/>
      <c r="Q3" s="37"/>
      <c r="R3" s="37"/>
      <c r="S3" s="37"/>
      <c r="T3" s="38"/>
      <c r="U3" s="38"/>
      <c r="V3" s="38"/>
      <c r="W3" s="38"/>
      <c r="X3" s="38"/>
      <c r="Y3" s="38"/>
      <c r="Z3" s="38"/>
      <c r="AA3" s="38"/>
      <c r="AB3" s="38"/>
      <c r="AC3" s="38"/>
    </row>
    <row r="4" spans="1:29" x14ac:dyDescent="0.25">
      <c r="A4" s="38"/>
      <c r="B4" s="36" t="s">
        <v>62</v>
      </c>
      <c r="C4" s="37"/>
      <c r="D4" s="37"/>
      <c r="E4" s="37"/>
      <c r="F4" s="37"/>
      <c r="G4" s="37"/>
      <c r="H4" s="37"/>
      <c r="I4" s="38"/>
      <c r="J4" s="38"/>
      <c r="K4" s="38"/>
      <c r="L4" s="38"/>
      <c r="M4" s="37"/>
      <c r="N4" s="37"/>
      <c r="O4" s="37"/>
      <c r="P4" s="37"/>
      <c r="Q4" s="37"/>
      <c r="R4" s="37"/>
      <c r="S4" s="37"/>
      <c r="T4" s="38"/>
      <c r="U4" s="38"/>
      <c r="V4" s="38"/>
      <c r="W4" s="38"/>
      <c r="X4" s="38"/>
      <c r="Y4" s="38"/>
      <c r="Z4" s="38"/>
      <c r="AA4" s="38"/>
      <c r="AB4" s="38"/>
      <c r="AC4" s="38"/>
    </row>
    <row r="5" spans="1:29" x14ac:dyDescent="0.25">
      <c r="A5" s="38"/>
      <c r="B5" s="38" t="s">
        <v>61</v>
      </c>
      <c r="C5" s="37"/>
      <c r="D5" s="37"/>
      <c r="E5" s="37"/>
      <c r="F5" s="37"/>
      <c r="G5" s="37"/>
      <c r="H5" s="37"/>
      <c r="I5" s="38"/>
      <c r="J5" s="38"/>
      <c r="K5" s="38"/>
      <c r="L5" s="38"/>
      <c r="M5" s="37"/>
      <c r="N5" s="37"/>
      <c r="O5" s="37"/>
      <c r="P5" s="37"/>
      <c r="Q5" s="37"/>
      <c r="R5" s="37"/>
      <c r="S5" s="37"/>
      <c r="T5" s="38"/>
      <c r="U5" s="38"/>
      <c r="V5" s="38"/>
      <c r="W5" s="38"/>
      <c r="X5" s="38"/>
      <c r="Y5" s="38"/>
      <c r="Z5" s="38"/>
      <c r="AA5" s="38"/>
      <c r="AB5" s="38"/>
      <c r="AC5" s="38"/>
    </row>
    <row r="6" spans="1:29" ht="24.75" customHeight="1" thickBot="1" x14ac:dyDescent="0.5">
      <c r="A6" s="38"/>
      <c r="B6" s="38" t="s">
        <v>60</v>
      </c>
      <c r="C6" s="39"/>
      <c r="D6" s="39"/>
      <c r="E6" s="39"/>
      <c r="F6" s="39"/>
      <c r="G6" s="39"/>
      <c r="H6" s="39"/>
      <c r="I6" s="40"/>
      <c r="J6" s="40"/>
      <c r="K6" s="40"/>
      <c r="L6" s="40"/>
      <c r="M6" s="37"/>
      <c r="N6" s="37"/>
      <c r="O6" s="37"/>
      <c r="P6" s="37"/>
      <c r="Q6" s="37"/>
      <c r="R6" s="37"/>
      <c r="S6" s="37"/>
      <c r="T6" s="41"/>
      <c r="U6" s="38"/>
      <c r="V6" s="38"/>
      <c r="W6" s="38"/>
      <c r="X6" s="38"/>
      <c r="Y6" s="38"/>
      <c r="Z6" s="38"/>
      <c r="AA6" s="38"/>
      <c r="AB6" s="38"/>
      <c r="AC6" s="38"/>
    </row>
    <row r="7" spans="1:29" ht="29.25" thickBot="1" x14ac:dyDescent="0.5">
      <c r="A7" s="38"/>
      <c r="B7" s="40"/>
      <c r="C7" s="46" t="s">
        <v>36</v>
      </c>
      <c r="D7" s="39"/>
      <c r="E7" s="39"/>
      <c r="F7" s="39"/>
      <c r="G7" s="39"/>
      <c r="H7" s="39"/>
      <c r="I7" s="40"/>
      <c r="J7" s="40"/>
      <c r="K7" s="40"/>
      <c r="L7" s="40"/>
      <c r="M7" s="37"/>
      <c r="N7" s="37"/>
      <c r="O7" s="37"/>
      <c r="P7" s="37"/>
      <c r="Q7" s="37"/>
      <c r="R7" s="37"/>
      <c r="S7" s="37"/>
      <c r="T7" s="41"/>
      <c r="U7" s="38"/>
      <c r="V7" s="38"/>
      <c r="W7" s="38"/>
      <c r="X7" s="38"/>
      <c r="Y7" s="38"/>
      <c r="Z7" s="38"/>
      <c r="AA7" s="38"/>
      <c r="AB7" s="38"/>
      <c r="AC7" s="38"/>
    </row>
    <row r="8" spans="1:29" ht="29.25" thickBot="1" x14ac:dyDescent="0.5">
      <c r="A8" s="38"/>
      <c r="B8" s="38"/>
      <c r="C8" s="390">
        <v>22</v>
      </c>
      <c r="D8" s="27" t="s">
        <v>37</v>
      </c>
      <c r="E8" s="27" t="s">
        <v>58</v>
      </c>
      <c r="F8" s="27"/>
      <c r="G8" s="39"/>
      <c r="H8" s="27" t="s">
        <v>68</v>
      </c>
      <c r="I8" s="27"/>
      <c r="J8" s="40"/>
      <c r="K8" s="40"/>
      <c r="L8" s="747" t="s">
        <v>59</v>
      </c>
      <c r="M8" s="747"/>
      <c r="N8" s="39"/>
      <c r="O8" s="39"/>
      <c r="P8" s="39"/>
      <c r="Q8" s="39"/>
      <c r="R8" s="39"/>
      <c r="S8" s="39"/>
      <c r="T8" s="41"/>
      <c r="U8" s="38"/>
      <c r="V8" s="38"/>
      <c r="W8" s="38"/>
      <c r="X8" s="38"/>
      <c r="Y8" s="38"/>
      <c r="Z8" s="38"/>
      <c r="AA8" s="38"/>
      <c r="AB8" s="38"/>
      <c r="AC8" s="38"/>
    </row>
    <row r="9" spans="1:29" ht="18.75" x14ac:dyDescent="0.3">
      <c r="A9" s="38"/>
      <c r="B9" s="28" t="s">
        <v>42</v>
      </c>
      <c r="C9" s="28"/>
      <c r="D9" s="28"/>
      <c r="E9" s="31">
        <f>C8/100000*5</f>
        <v>1.1000000000000001E-3</v>
      </c>
      <c r="F9" s="28" t="s">
        <v>4</v>
      </c>
      <c r="G9" s="39"/>
      <c r="H9" s="31">
        <f>C8/100000*12.5</f>
        <v>2.7500000000000003E-3</v>
      </c>
      <c r="I9" s="33" t="s">
        <v>4</v>
      </c>
      <c r="J9" s="40"/>
      <c r="K9" s="40"/>
      <c r="L9" s="31">
        <f>C8/100000*25</f>
        <v>5.5000000000000005E-3</v>
      </c>
      <c r="M9" s="33" t="s">
        <v>4</v>
      </c>
      <c r="N9" s="39"/>
      <c r="O9" s="748" t="s">
        <v>4</v>
      </c>
      <c r="P9" s="749"/>
      <c r="Q9" s="749"/>
      <c r="R9" s="103"/>
      <c r="S9" s="103" t="s">
        <v>38</v>
      </c>
      <c r="T9" s="103" t="s">
        <v>39</v>
      </c>
      <c r="U9" s="103" t="s">
        <v>35</v>
      </c>
      <c r="V9" s="34"/>
      <c r="W9" s="34"/>
      <c r="X9" s="34"/>
      <c r="Y9" s="3"/>
      <c r="Z9" s="38"/>
      <c r="AA9" s="38"/>
      <c r="AB9" s="38"/>
      <c r="AC9" s="38"/>
    </row>
    <row r="10" spans="1:29" ht="23.25" customHeight="1" thickBot="1" x14ac:dyDescent="0.4">
      <c r="A10" s="38"/>
      <c r="B10" s="48" t="s">
        <v>66</v>
      </c>
      <c r="C10" s="32" t="s">
        <v>65</v>
      </c>
      <c r="D10" s="28"/>
      <c r="E10" s="31">
        <f>C8/100000*5</f>
        <v>1.1000000000000001E-3</v>
      </c>
      <c r="F10" s="28" t="s">
        <v>4</v>
      </c>
      <c r="G10" s="39"/>
      <c r="H10" s="31">
        <f>C8/100000*12.5</f>
        <v>2.7500000000000003E-3</v>
      </c>
      <c r="I10" s="33" t="s">
        <v>4</v>
      </c>
      <c r="J10" s="40"/>
      <c r="K10" s="40"/>
      <c r="L10" s="31">
        <f>C8/100000*25</f>
        <v>5.5000000000000005E-3</v>
      </c>
      <c r="M10" s="33" t="s">
        <v>4</v>
      </c>
      <c r="N10" s="39"/>
      <c r="O10" s="67">
        <v>0</v>
      </c>
      <c r="P10" s="68">
        <v>0</v>
      </c>
      <c r="Q10" s="68">
        <v>0</v>
      </c>
      <c r="R10" s="35" t="s">
        <v>40</v>
      </c>
      <c r="S10" s="68">
        <v>0</v>
      </c>
      <c r="T10" s="68">
        <v>0</v>
      </c>
      <c r="U10" s="68">
        <v>2</v>
      </c>
      <c r="V10" s="47" t="s">
        <v>64</v>
      </c>
      <c r="W10" s="69">
        <v>7</v>
      </c>
      <c r="X10" s="69">
        <v>5</v>
      </c>
      <c r="Y10" s="70">
        <v>0</v>
      </c>
      <c r="Z10" s="38"/>
      <c r="AA10" s="38"/>
      <c r="AB10" s="38"/>
      <c r="AC10" s="38"/>
    </row>
    <row r="11" spans="1:29" ht="25.5" customHeight="1" x14ac:dyDescent="0.45">
      <c r="A11" s="38"/>
      <c r="B11" s="43" t="s">
        <v>63</v>
      </c>
      <c r="C11" s="32" t="s">
        <v>57</v>
      </c>
      <c r="D11" s="28"/>
      <c r="E11" s="31">
        <f>C8/100*12.5</f>
        <v>2.75</v>
      </c>
      <c r="F11" s="33" t="s">
        <v>34</v>
      </c>
      <c r="G11" s="39"/>
      <c r="H11" s="31">
        <f>C8/100*25</f>
        <v>5.5</v>
      </c>
      <c r="I11" s="33" t="s">
        <v>34</v>
      </c>
      <c r="J11" s="40"/>
      <c r="K11" s="40"/>
      <c r="L11" s="31">
        <f>C8/100*40</f>
        <v>8.8000000000000007</v>
      </c>
      <c r="M11" s="33" t="s">
        <v>34</v>
      </c>
      <c r="N11" s="39"/>
      <c r="O11" s="39"/>
      <c r="P11" s="39"/>
      <c r="Q11" s="39"/>
      <c r="R11" s="39"/>
      <c r="S11" s="39"/>
      <c r="T11" s="41"/>
      <c r="U11" s="38"/>
      <c r="V11" s="38"/>
      <c r="W11" s="38"/>
      <c r="X11" s="38"/>
      <c r="Y11" s="38"/>
      <c r="Z11" s="38"/>
      <c r="AA11" s="38"/>
      <c r="AB11" s="38"/>
      <c r="AC11" s="38"/>
    </row>
    <row r="12" spans="1:29" ht="10.5" customHeight="1" thickBot="1" x14ac:dyDescent="0.5">
      <c r="A12" s="38"/>
      <c r="B12" s="40"/>
      <c r="C12" s="39"/>
      <c r="D12" s="39"/>
      <c r="E12" s="39"/>
      <c r="F12" s="39"/>
      <c r="G12" s="39"/>
      <c r="H12" s="39"/>
      <c r="I12" s="40"/>
      <c r="J12" s="40"/>
      <c r="K12" s="40"/>
      <c r="L12" s="40"/>
      <c r="M12" s="39"/>
      <c r="N12" s="39"/>
      <c r="O12" s="39"/>
      <c r="P12" s="39"/>
      <c r="Q12" s="39"/>
      <c r="R12" s="39"/>
      <c r="S12" s="39"/>
      <c r="T12" s="41"/>
      <c r="U12" s="38"/>
      <c r="V12" s="38"/>
      <c r="W12" s="38"/>
      <c r="X12" s="38"/>
      <c r="Y12" s="38"/>
      <c r="Z12" s="38"/>
      <c r="AA12" s="38"/>
      <c r="AB12" s="38"/>
      <c r="AC12" s="38"/>
    </row>
    <row r="13" spans="1:29" ht="19.5" thickBot="1" x14ac:dyDescent="0.35">
      <c r="A13" s="38"/>
      <c r="B13" s="40"/>
      <c r="C13" s="750" t="s">
        <v>43</v>
      </c>
      <c r="D13" s="750"/>
      <c r="E13" s="29" t="s">
        <v>41</v>
      </c>
      <c r="F13" s="39"/>
      <c r="G13" s="39"/>
      <c r="H13" s="39"/>
      <c r="I13" s="40"/>
      <c r="J13" s="40"/>
      <c r="K13" s="40"/>
      <c r="L13" s="40"/>
      <c r="M13" s="751" t="s">
        <v>47</v>
      </c>
      <c r="N13" s="752"/>
      <c r="O13" s="253"/>
      <c r="P13" s="254"/>
      <c r="Q13" s="254" t="s">
        <v>34</v>
      </c>
      <c r="R13" s="235"/>
      <c r="S13" s="235" t="s">
        <v>48</v>
      </c>
      <c r="T13" s="235" t="s">
        <v>50</v>
      </c>
      <c r="U13" s="235" t="s">
        <v>49</v>
      </c>
      <c r="V13" s="255"/>
      <c r="W13" s="255"/>
      <c r="X13" s="255"/>
      <c r="Y13" s="256"/>
      <c r="Z13" s="38"/>
      <c r="AA13" s="38"/>
      <c r="AB13" s="38"/>
      <c r="AC13" s="38"/>
    </row>
    <row r="14" spans="1:29" ht="20.25" customHeight="1" thickBot="1" x14ac:dyDescent="0.5">
      <c r="A14" s="38"/>
      <c r="B14" s="38"/>
      <c r="C14" s="42"/>
      <c r="D14" s="42"/>
      <c r="E14" s="42"/>
      <c r="F14" s="42"/>
      <c r="G14" s="42"/>
      <c r="H14" s="42"/>
      <c r="I14" s="41"/>
      <c r="J14" s="41"/>
      <c r="K14" s="41"/>
      <c r="L14" s="41"/>
      <c r="M14" s="42"/>
      <c r="N14" s="42"/>
      <c r="O14" s="246"/>
      <c r="P14" s="247"/>
      <c r="Q14" s="248">
        <v>6</v>
      </c>
      <c r="R14" s="249" t="s">
        <v>40</v>
      </c>
      <c r="S14" s="248">
        <v>2</v>
      </c>
      <c r="T14" s="248">
        <v>5</v>
      </c>
      <c r="U14" s="248">
        <v>0</v>
      </c>
      <c r="V14" s="250" t="s">
        <v>64</v>
      </c>
      <c r="W14" s="251"/>
      <c r="X14" s="596"/>
      <c r="Y14" s="252"/>
      <c r="Z14" s="38"/>
      <c r="AA14" s="38"/>
      <c r="AB14" s="38"/>
      <c r="AC14" s="38"/>
    </row>
    <row r="15" spans="1:29" ht="6" customHeight="1" x14ac:dyDescent="0.25">
      <c r="A15" s="38"/>
      <c r="B15" s="38"/>
      <c r="C15" s="37"/>
      <c r="D15" s="37"/>
      <c r="E15" s="37"/>
      <c r="F15" s="37"/>
      <c r="G15" s="37"/>
      <c r="H15" s="37"/>
      <c r="I15" s="38"/>
      <c r="J15" s="38"/>
      <c r="K15" s="38"/>
      <c r="L15" s="38"/>
      <c r="M15" s="37"/>
      <c r="N15" s="37"/>
      <c r="O15" s="37"/>
      <c r="P15" s="37"/>
      <c r="Q15" s="37"/>
      <c r="R15" s="37"/>
      <c r="S15" s="37"/>
      <c r="T15" s="38"/>
      <c r="U15" s="38"/>
      <c r="V15" s="38"/>
      <c r="W15" s="38"/>
      <c r="X15" s="38"/>
      <c r="Y15" s="38"/>
      <c r="Z15" s="38"/>
      <c r="AA15" s="38"/>
      <c r="AB15" s="38"/>
      <c r="AC15" s="38"/>
    </row>
    <row r="16" spans="1:29" ht="12.75" customHeight="1" x14ac:dyDescent="0.3">
      <c r="A16" s="38"/>
      <c r="B16" s="44" t="s">
        <v>56</v>
      </c>
      <c r="C16" s="37"/>
      <c r="D16" s="37"/>
      <c r="E16" s="37"/>
      <c r="F16" s="37"/>
      <c r="G16" s="37"/>
      <c r="H16" s="37"/>
      <c r="I16" s="38"/>
      <c r="J16" s="38"/>
      <c r="K16" s="38"/>
      <c r="L16" s="38"/>
      <c r="M16" s="37"/>
      <c r="N16" s="37"/>
      <c r="O16" s="37"/>
      <c r="P16" s="37"/>
      <c r="Q16" s="37"/>
      <c r="R16" s="37"/>
      <c r="S16" s="37"/>
      <c r="T16" s="38"/>
      <c r="U16" s="38"/>
      <c r="V16" s="38"/>
      <c r="W16" s="38"/>
      <c r="X16" s="38"/>
      <c r="Y16" s="38"/>
      <c r="Z16" s="38"/>
      <c r="AA16" s="38"/>
      <c r="AB16" s="38"/>
      <c r="AC16" s="38"/>
    </row>
    <row r="17" spans="1:29" x14ac:dyDescent="0.25">
      <c r="A17" s="38"/>
      <c r="B17" s="38" t="s">
        <v>54</v>
      </c>
      <c r="C17" s="37"/>
      <c r="D17" s="37"/>
      <c r="E17" s="37"/>
      <c r="F17" s="37"/>
      <c r="G17" s="37"/>
      <c r="H17" s="37"/>
      <c r="I17" s="38"/>
      <c r="J17" s="38"/>
      <c r="K17" s="38"/>
      <c r="L17" s="38"/>
      <c r="M17" s="37"/>
      <c r="N17" s="37"/>
      <c r="O17" s="37"/>
      <c r="P17" s="37"/>
      <c r="Q17" s="37"/>
      <c r="R17" s="37"/>
      <c r="S17" s="37"/>
      <c r="T17" s="38"/>
      <c r="U17" s="38"/>
      <c r="V17" s="38"/>
      <c r="W17" s="38"/>
      <c r="X17" s="38"/>
      <c r="Y17" s="38"/>
      <c r="Z17" s="38"/>
      <c r="AA17" s="38"/>
      <c r="AB17" s="38"/>
      <c r="AC17" s="38"/>
    </row>
    <row r="18" spans="1:29" x14ac:dyDescent="0.25">
      <c r="A18" s="38"/>
      <c r="B18" s="38" t="s">
        <v>44</v>
      </c>
      <c r="C18" s="37"/>
      <c r="D18" s="37"/>
      <c r="E18" s="37"/>
      <c r="F18" s="37"/>
      <c r="G18" s="37"/>
      <c r="H18" s="37"/>
      <c r="I18" s="38"/>
      <c r="J18" s="38"/>
      <c r="K18" s="38"/>
      <c r="L18" s="38"/>
      <c r="M18" s="37"/>
      <c r="N18" s="37"/>
      <c r="O18" s="37"/>
      <c r="P18" s="37"/>
      <c r="Q18" s="37"/>
      <c r="R18" s="37"/>
      <c r="S18" s="37"/>
      <c r="T18" s="38"/>
      <c r="U18" s="38"/>
      <c r="V18" s="38"/>
      <c r="W18" s="38"/>
      <c r="X18" s="38"/>
      <c r="Y18" s="38"/>
      <c r="Z18" s="38"/>
      <c r="AA18" s="38"/>
      <c r="AB18" s="38"/>
      <c r="AC18" s="38"/>
    </row>
    <row r="19" spans="1:29" x14ac:dyDescent="0.25">
      <c r="A19" s="38"/>
      <c r="B19" s="38" t="s">
        <v>45</v>
      </c>
      <c r="C19" s="37"/>
      <c r="D19" s="37"/>
      <c r="E19" s="37"/>
      <c r="F19" s="37"/>
      <c r="G19" s="37"/>
      <c r="H19" s="37"/>
      <c r="I19" s="38"/>
      <c r="J19" s="38"/>
      <c r="K19" s="38"/>
      <c r="L19" s="38"/>
      <c r="M19" s="37"/>
      <c r="N19" s="37"/>
      <c r="O19" s="37"/>
      <c r="P19" s="37"/>
      <c r="Q19" s="37"/>
      <c r="R19" s="37"/>
      <c r="S19" s="37"/>
      <c r="T19" s="38"/>
      <c r="U19" s="38"/>
      <c r="V19" s="38"/>
      <c r="W19" s="38"/>
      <c r="X19" s="38"/>
      <c r="Y19" s="38"/>
      <c r="Z19" s="38"/>
      <c r="AA19" s="38"/>
      <c r="AB19" s="38"/>
      <c r="AC19" s="38"/>
    </row>
    <row r="20" spans="1:29" x14ac:dyDescent="0.25">
      <c r="A20" s="38"/>
      <c r="B20" s="38" t="s">
        <v>46</v>
      </c>
      <c r="C20" s="37"/>
      <c r="D20" s="37"/>
      <c r="E20" s="37"/>
      <c r="F20" s="37"/>
      <c r="G20" s="37"/>
      <c r="H20" s="37"/>
      <c r="I20" s="38"/>
      <c r="J20" s="38"/>
      <c r="K20" s="38"/>
      <c r="L20" s="38"/>
      <c r="M20" s="37"/>
      <c r="N20" s="37"/>
      <c r="O20" s="37"/>
      <c r="P20" s="37"/>
      <c r="Q20" s="37"/>
      <c r="R20" s="37"/>
      <c r="S20" s="37"/>
      <c r="T20" s="38"/>
      <c r="U20" s="38"/>
      <c r="V20" s="38"/>
      <c r="W20" s="38"/>
      <c r="X20" s="38"/>
      <c r="Y20" s="38"/>
      <c r="Z20" s="38"/>
      <c r="AA20" s="38"/>
      <c r="AB20" s="38"/>
      <c r="AC20" s="38"/>
    </row>
    <row r="21" spans="1:29" ht="18.75" x14ac:dyDescent="0.25">
      <c r="A21" s="38"/>
      <c r="B21" s="38"/>
      <c r="C21" s="39"/>
      <c r="D21" s="39"/>
      <c r="E21" s="45"/>
      <c r="F21" s="37"/>
      <c r="G21" s="37"/>
      <c r="H21" s="37"/>
      <c r="I21" s="38"/>
      <c r="J21" s="38"/>
      <c r="K21" s="38"/>
      <c r="L21" s="38"/>
      <c r="M21" s="37"/>
      <c r="N21" s="37"/>
      <c r="O21" s="37"/>
      <c r="P21" s="37"/>
      <c r="Q21" s="37"/>
      <c r="R21" s="37"/>
      <c r="S21" s="37"/>
      <c r="T21" s="38"/>
      <c r="U21" s="38"/>
      <c r="V21" s="38"/>
      <c r="W21" s="38"/>
      <c r="X21" s="38"/>
      <c r="Y21" s="38"/>
      <c r="Z21" s="38"/>
      <c r="AA21" s="38"/>
      <c r="AB21" s="38"/>
      <c r="AC21" s="38"/>
    </row>
    <row r="22" spans="1:29" ht="17.25" customHeight="1" x14ac:dyDescent="0.25">
      <c r="A22" s="38"/>
      <c r="B22" s="38"/>
      <c r="C22" s="37"/>
      <c r="D22" s="37"/>
      <c r="E22" s="30">
        <f>C8/100000*20</f>
        <v>4.4000000000000003E-3</v>
      </c>
      <c r="F22" s="26" t="s">
        <v>55</v>
      </c>
      <c r="G22" s="37"/>
      <c r="H22" s="37"/>
      <c r="I22" s="38"/>
      <c r="J22" s="38"/>
      <c r="K22" s="38"/>
      <c r="L22" s="31">
        <f>C8/100000*40</f>
        <v>8.8000000000000005E-3</v>
      </c>
      <c r="M22" s="33" t="s">
        <v>34</v>
      </c>
      <c r="N22" s="37"/>
      <c r="O22" s="37"/>
      <c r="P22" s="37"/>
      <c r="Q22" s="37"/>
      <c r="R22" s="37"/>
      <c r="S22" s="37"/>
      <c r="T22" s="38"/>
      <c r="U22" s="38"/>
      <c r="V22" s="38"/>
      <c r="W22" s="38"/>
      <c r="X22" s="38"/>
      <c r="Y22" s="38"/>
      <c r="Z22" s="38"/>
      <c r="AA22" s="38"/>
      <c r="AB22" s="38"/>
      <c r="AC22" s="38"/>
    </row>
    <row r="23" spans="1:29" s="279" customFormat="1" ht="50.25" customHeight="1" x14ac:dyDescent="0.25">
      <c r="A23" s="38"/>
      <c r="B23" s="38"/>
      <c r="C23" s="37"/>
      <c r="D23" s="37"/>
      <c r="E23" s="37"/>
      <c r="F23" s="37"/>
      <c r="G23" s="37"/>
      <c r="H23" s="37"/>
      <c r="I23" s="37"/>
      <c r="J23" s="37"/>
      <c r="K23" s="37"/>
      <c r="L23" s="37"/>
      <c r="M23" s="37"/>
      <c r="N23" s="37"/>
      <c r="O23" s="37"/>
      <c r="P23" s="37"/>
      <c r="Q23" s="37"/>
      <c r="R23" s="37"/>
      <c r="S23" s="37"/>
      <c r="T23" s="38"/>
      <c r="U23" s="38"/>
      <c r="V23" s="38"/>
      <c r="W23" s="38"/>
      <c r="X23" s="38"/>
      <c r="Y23" s="38"/>
      <c r="Z23" s="38"/>
      <c r="AA23" s="38"/>
      <c r="AB23" s="38"/>
      <c r="AC23" s="38"/>
    </row>
    <row r="24" spans="1:29" ht="40.5" customHeight="1" x14ac:dyDescent="0.25">
      <c r="A24" s="38"/>
      <c r="B24" s="38"/>
      <c r="C24" s="37"/>
      <c r="D24" s="37"/>
      <c r="E24" s="37"/>
      <c r="F24" s="37"/>
      <c r="G24" s="37"/>
      <c r="H24" s="37"/>
      <c r="I24" s="38"/>
      <c r="J24" s="38"/>
      <c r="K24" s="38"/>
      <c r="L24" s="38"/>
      <c r="M24" s="37"/>
      <c r="N24" s="37"/>
      <c r="O24" s="37"/>
      <c r="P24" s="37"/>
      <c r="Q24" s="37"/>
      <c r="R24" s="37"/>
      <c r="S24" s="37"/>
      <c r="T24" s="38"/>
      <c r="U24" s="38"/>
      <c r="V24" s="38"/>
      <c r="W24" s="38"/>
      <c r="X24" s="38"/>
      <c r="Y24" s="38"/>
      <c r="Z24" s="38"/>
      <c r="AA24" s="38"/>
      <c r="AB24" s="38"/>
      <c r="AC24" s="38"/>
    </row>
  </sheetData>
  <sheetProtection password="CC70" sheet="1" objects="1" scenarios="1"/>
  <mergeCells count="4">
    <mergeCell ref="L8:M8"/>
    <mergeCell ref="O9:Q9"/>
    <mergeCell ref="C13:D13"/>
    <mergeCell ref="M13:N13"/>
  </mergeCells>
  <pageMargins left="0.19685039370078741" right="0.19685039370078741" top="0.19685039370078741" bottom="0.19685039370078741" header="0.31496062992125984" footer="0.31496062992125984"/>
  <pageSetup paperSize="9" orientation="landscape" horizontalDpi="4294967293" verticalDpi="0" r:id="rId1"/>
  <headerFooter>
    <oddFooter>&amp;C&amp;F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24</vt:i4>
      </vt:variant>
    </vt:vector>
  </HeadingPairs>
  <TitlesOfParts>
    <vt:vector size="50" baseType="lpstr">
      <vt:lpstr>Feuile de mesures</vt:lpstr>
      <vt:lpstr>calcul de chaptalisation</vt:lpstr>
      <vt:lpstr>Levures</vt:lpstr>
      <vt:lpstr>Correction Acidité</vt:lpstr>
      <vt:lpstr>quant sulfite </vt:lpstr>
      <vt:lpstr>correction densité &gt;temp</vt:lpstr>
      <vt:lpstr>arrêter la fermentation</vt:lpstr>
      <vt:lpstr>Croix St André</vt:lpstr>
      <vt:lpstr>Clarifiant</vt:lpstr>
      <vt:lpstr>Place  sucre par litre</vt:lpstr>
      <vt:lpstr>Eclaircisant jus rouge</vt:lpstr>
      <vt:lpstr>Table Conversion densité </vt:lpstr>
      <vt:lpstr>Correction en sucre</vt:lpstr>
      <vt:lpstr>Sorbitol</vt:lpstr>
      <vt:lpstr>Méthode Acidex1</vt:lpstr>
      <vt:lpstr>Méthode Acidex2</vt:lpstr>
      <vt:lpstr>volume dans une tourie en verre</vt:lpstr>
      <vt:lpstr>Pouvoir sucrant </vt:lpstr>
      <vt:lpstr>Dilution alcool et eau</vt:lpstr>
      <vt:lpstr>Levure par fruits et récolte</vt:lpstr>
      <vt:lpstr>Capacité contenant</vt:lpstr>
      <vt:lpstr>volume d'un seau ou un  fût</vt:lpstr>
      <vt:lpstr>Quantité de sulfite</vt:lpstr>
      <vt:lpstr>Nombre de bouteilles</vt:lpstr>
      <vt:lpstr>calcul kupfat</vt:lpstr>
      <vt:lpstr>avant-propos</vt:lpstr>
      <vt:lpstr>d_taux</vt:lpstr>
      <vt:lpstr>d_type</vt:lpstr>
      <vt:lpstr>liste</vt:lpstr>
      <vt:lpstr>taux</vt:lpstr>
      <vt:lpstr>type</vt:lpstr>
      <vt:lpstr>'arrêter la fermentation'!Zone_d_impression</vt:lpstr>
      <vt:lpstr>'calcul de chaptalisation'!Zone_d_impression</vt:lpstr>
      <vt:lpstr>'Capacité contenant'!Zone_d_impression</vt:lpstr>
      <vt:lpstr>Clarifiant!Zone_d_impression</vt:lpstr>
      <vt:lpstr>'Correction Acidité'!Zone_d_impression</vt:lpstr>
      <vt:lpstr>'correction densité &gt;temp'!Zone_d_impression</vt:lpstr>
      <vt:lpstr>'Correction en sucre'!Zone_d_impression</vt:lpstr>
      <vt:lpstr>'Croix St André'!Zone_d_impression</vt:lpstr>
      <vt:lpstr>'Eclaircisant jus rouge'!Zone_d_impression</vt:lpstr>
      <vt:lpstr>'Feuile de mesures'!Zone_d_impression</vt:lpstr>
      <vt:lpstr>Levures!Zone_d_impression</vt:lpstr>
      <vt:lpstr>'Méthode Acidex1'!Zone_d_impression</vt:lpstr>
      <vt:lpstr>'Méthode Acidex2'!Zone_d_impression</vt:lpstr>
      <vt:lpstr>'Place  sucre par litre'!Zone_d_impression</vt:lpstr>
      <vt:lpstr>'Pouvoir sucrant '!Zone_d_impression</vt:lpstr>
      <vt:lpstr>'quant sulfite '!Zone_d_impression</vt:lpstr>
      <vt:lpstr>Sorbitol!Zone_d_impression</vt:lpstr>
      <vt:lpstr>'Table Conversion densité '!Zone_d_impression</vt:lpstr>
      <vt:lpstr>'volume dans une tourie en verre'!Zone_d_impression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dc:creator>
  <cp:lastModifiedBy>admin</cp:lastModifiedBy>
  <cp:lastPrinted>2023-06-19T09:16:52Z</cp:lastPrinted>
  <dcterms:created xsi:type="dcterms:W3CDTF">2011-10-09T07:23:09Z</dcterms:created>
  <dcterms:modified xsi:type="dcterms:W3CDTF">2023-06-19T09:56:20Z</dcterms:modified>
</cp:coreProperties>
</file>